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0" windowWidth="14100" windowHeight="14100" tabRatio="766" firstSheet="2" activeTab="2"/>
  </bookViews>
  <sheets>
    <sheet name="101 1010 ОТГ" sheetId="1" state="hidden" r:id="rId1"/>
    <sheet name="101 1020 ОТГ" sheetId="2" state="hidden" r:id="rId2"/>
    <sheet name="12" sheetId="3" r:id="rId3"/>
    <sheet name="101 1220 ОТГ" sheetId="4" state="hidden" r:id="rId4"/>
    <sheet name="101 1230" sheetId="5" state="hidden" r:id="rId5"/>
  </sheets>
  <definedNames>
    <definedName name="_xlnm.Print_Titles" localSheetId="0">'101 1010 ОТГ'!$A:$A</definedName>
    <definedName name="_xlnm.Print_Titles" localSheetId="1">'101 1020 ОТГ'!$A:$A</definedName>
    <definedName name="_xlnm.Print_Titles" localSheetId="3">'101 1220 ОТГ'!$A:$A</definedName>
    <definedName name="_xlnm.Print_Titles" localSheetId="2">'12'!$4:$6</definedName>
    <definedName name="_xlnm.Print_Area" localSheetId="0">'101 1010 ОТГ'!$A$1:$AV$8</definedName>
    <definedName name="_xlnm.Print_Area" localSheetId="1">'101 1020 ОТГ'!$A$1:$BB$24</definedName>
    <definedName name="_xlnm.Print_Area" localSheetId="3">'101 1220 ОТГ'!$A$1:$AI$24</definedName>
    <definedName name="_xlnm.Print_Area" localSheetId="2">'12'!$A$1:$J$102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C1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забрано з ключів казни 2500, знято з води 730, запчастини 970
</t>
        </r>
      </text>
    </comment>
    <comment ref="C7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знято з електроліч 1000, з прогр.медка 1000, перев.сигналіз.газу 1000</t>
        </r>
      </text>
    </comment>
    <comment ref="C6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взято з зв’язку 800
</t>
        </r>
      </text>
    </comment>
    <comment ref="D1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забрано з ключів казни 2500, знято з води 730, запчастини 970, 2056</t>
        </r>
      </text>
    </comment>
    <comment ref="D6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добавлено з повірки  тандема 5000,00</t>
        </r>
      </text>
    </comment>
    <comment ref="D5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перенесено на ремонт
</t>
        </r>
      </text>
    </comment>
    <comment ref="D5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перенесено на пусконаладку
</t>
        </r>
      </text>
    </comment>
    <comment ref="D7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знято на протигази 
</t>
        </r>
      </text>
    </comment>
    <comment ref="D8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знято на електротовари</t>
        </r>
      </text>
    </comment>
    <comment ref="D8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знято на ОСБ для ремонту, на коврики</t>
        </r>
      </text>
    </comment>
    <comment ref="D85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знято на коврики</t>
        </r>
      </text>
    </comment>
    <comment ref="D8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знято на реактивну енергію</t>
        </r>
      </text>
    </comment>
    <comment ref="D8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добавлено з водопостачання</t>
        </r>
      </text>
    </comment>
    <comment ref="D2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знято на коврики 105,92</t>
        </r>
      </text>
    </comment>
  </commentList>
</comments>
</file>

<file path=xl/sharedStrings.xml><?xml version="1.0" encoding="utf-8"?>
<sst xmlns="http://schemas.openxmlformats.org/spreadsheetml/2006/main" count="265" uniqueCount="199">
  <si>
    <t>всього</t>
  </si>
  <si>
    <t>перевірка коректорів газу</t>
  </si>
  <si>
    <t>перевірка сигналізаторів</t>
  </si>
  <si>
    <t>перевірка газових лічільників</t>
  </si>
  <si>
    <t>перевірка заземлення днз та топкових</t>
  </si>
  <si>
    <t>перевірка димоходів топкових</t>
  </si>
  <si>
    <t>перевірка контрольно-вимірювальних приладів</t>
  </si>
  <si>
    <t>перезарядка вогнегасників</t>
  </si>
  <si>
    <t>обслуговування газового ШРП</t>
  </si>
  <si>
    <t>виконання заходів з енергозбереження газових топкових</t>
  </si>
  <si>
    <t>режимна наладка газових котлів</t>
  </si>
  <si>
    <t>придбання вогнегасників</t>
  </si>
  <si>
    <t>шкільне відділення</t>
  </si>
  <si>
    <t>дошкільне відділення</t>
  </si>
  <si>
    <t>всього НВК</t>
  </si>
  <si>
    <t>РАЗОМ</t>
  </si>
  <si>
    <t>зв’язок</t>
  </si>
  <si>
    <t>придбання коректорів газу</t>
  </si>
  <si>
    <t xml:space="preserve">пусконалагоджувальні роботи котлів </t>
  </si>
  <si>
    <t>наладка котлів</t>
  </si>
  <si>
    <t>ремонт глтбинних насосів</t>
  </si>
  <si>
    <t>придбання електролічільників</t>
  </si>
  <si>
    <t>виготовлення атестатів</t>
  </si>
  <si>
    <t>вода питна</t>
  </si>
  <si>
    <t>шкільна форма</t>
  </si>
  <si>
    <t>класні журнали</t>
  </si>
  <si>
    <t>канцелярське приладдя</t>
  </si>
  <si>
    <t>Чернявщинська СЗШ</t>
  </si>
  <si>
    <t>ВСЬОГО ШКОЛИ</t>
  </si>
  <si>
    <t>ПРОЕКТ БЮДЖЕТУ ПО КФКВ  1011020 "Загальноосвітні навчальні заклади" на 2018 рік</t>
  </si>
  <si>
    <t xml:space="preserve">ВСЬОГО шкільне </t>
  </si>
  <si>
    <t xml:space="preserve">ВСЬОГО дошкільне </t>
  </si>
  <si>
    <t>філія Жемчужненський</t>
  </si>
  <si>
    <t>філія Новогригорівський</t>
  </si>
  <si>
    <t>Юр’ївська Опорна СЗШ</t>
  </si>
  <si>
    <t>дератизація</t>
  </si>
  <si>
    <t>лабораторне дослідження питної води</t>
  </si>
  <si>
    <t>відшкодування витрат на припинення газопостачання</t>
  </si>
  <si>
    <t>вивіз твердих побутових відходів</t>
  </si>
  <si>
    <t>асинізація (стічні води)</t>
  </si>
  <si>
    <t>новорічні подарунки</t>
  </si>
  <si>
    <t>продукти харчування</t>
  </si>
  <si>
    <t>оздоровлення ,майданчик</t>
  </si>
  <si>
    <t>продукти харчування(пільгова категорія)</t>
  </si>
  <si>
    <t>місцевий бюджет</t>
  </si>
  <si>
    <t>освітня субвенція</t>
  </si>
  <si>
    <t>матеріальна допомога на оздоровлення</t>
  </si>
  <si>
    <t>щорічна винагорода</t>
  </si>
  <si>
    <t>ФОП</t>
  </si>
  <si>
    <t>Преображенський НВК</t>
  </si>
  <si>
    <t>Фонд оплати праці</t>
  </si>
  <si>
    <t>Юр’ївський ДНЗ</t>
  </si>
  <si>
    <t>ВСЬОГО дошкільні заклади</t>
  </si>
  <si>
    <t>Чернявщинський ДНЗ</t>
  </si>
  <si>
    <t>ПРОЕКТ БЮДЖЕТУ ПО КФКВ  по 1011010 "Дошкільна освіта" на 2018 рік</t>
  </si>
  <si>
    <t>тех.обслуговування газопроводів</t>
  </si>
  <si>
    <t>повірка сигналізаторів</t>
  </si>
  <si>
    <t>відшкодування витрат на припинення,підключення газопостачання</t>
  </si>
  <si>
    <t>ПРОЕКТ БЮДЖЕТУ ПО КФКВ  1011220 Інші освітні програми  на 2018 рік</t>
  </si>
  <si>
    <t>бензин</t>
  </si>
  <si>
    <t>дизпаливо</t>
  </si>
  <si>
    <t>кількість</t>
  </si>
  <si>
    <t>масло,тосол</t>
  </si>
  <si>
    <t>запчастини</t>
  </si>
  <si>
    <t>діагностичний контроль -2 раз/рік*600,00</t>
  </si>
  <si>
    <t>страхування автотранспорту(1раз на рік</t>
  </si>
  <si>
    <t>техобслуговування 2р/на рік</t>
  </si>
  <si>
    <t>№ п/п</t>
  </si>
  <si>
    <t>Назва бюджетної установи</t>
  </si>
  <si>
    <t>пропозиції по використанню (перерозподілу) економії коштів</t>
  </si>
  <si>
    <t>в т.ч. з причин затримки платежів УДКСУ</t>
  </si>
  <si>
    <t>Пояснення причин нецільового використання бюджетних коштів відповідно до обгрунтуваннь при формуванні бюджету</t>
  </si>
  <si>
    <t>,</t>
  </si>
  <si>
    <t>Заробітна плата</t>
  </si>
  <si>
    <t>Предмети, матеріали,обладнання та інвентар</t>
  </si>
  <si>
    <t>канцтовари</t>
  </si>
  <si>
    <t>Оплата послуг (крім комунальних)</t>
  </si>
  <si>
    <t>перевірка заземлення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</si>
  <si>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</si>
  <si>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</si>
  <si>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</si>
  <si>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</si>
  <si>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</si>
  <si>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</si>
  <si>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</si>
  <si>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Окремі заходи по реалізації держ.програм</t>
  </si>
  <si>
    <t>Інші виплати населенню</t>
  </si>
  <si>
    <t>2800</t>
  </si>
  <si>
    <t>Інші поточні видатки</t>
  </si>
  <si>
    <t>екологічний податок</t>
  </si>
  <si>
    <t>Всього</t>
  </si>
  <si>
    <t>Головний бухгалтер</t>
  </si>
  <si>
    <t>Водянський НВК</t>
  </si>
  <si>
    <t>Жемчужненський НВК</t>
  </si>
  <si>
    <t>Новов"язівська СЗОШ</t>
  </si>
  <si>
    <t>Новогригорівський НВК</t>
  </si>
  <si>
    <t>Новоіванівська СЗОШ</t>
  </si>
  <si>
    <t>Олександрівський НВК</t>
  </si>
  <si>
    <t>Чаплинська СЗОШ</t>
  </si>
  <si>
    <t>Чорнявщинська СЗОШ</t>
  </si>
  <si>
    <t>Шандрівський НВК</t>
  </si>
  <si>
    <t>Юр"ївська СЗОШ</t>
  </si>
  <si>
    <t>Директор</t>
  </si>
  <si>
    <t>пільгова категорія</t>
  </si>
  <si>
    <t>оздоровчий табір</t>
  </si>
  <si>
    <t>шкільне відділення :</t>
  </si>
  <si>
    <t>Варварівська СЗОШ</t>
  </si>
  <si>
    <t>Вербуватівський НВК</t>
  </si>
  <si>
    <t>кредиторська заборгованіст</t>
  </si>
  <si>
    <t>План на 2018 рік</t>
  </si>
  <si>
    <t>Одноразова грошова допомога дитині-сироті</t>
  </si>
  <si>
    <t>освітня субвенція, у т.ч.:</t>
  </si>
  <si>
    <t>місцевий бюджет, у т.ч.:</t>
  </si>
  <si>
    <t>Нарахування на зар.плату</t>
  </si>
  <si>
    <t>продукти харчування  учнів 1-4 класів</t>
  </si>
  <si>
    <t>Л.О. БАКАЙ</t>
  </si>
  <si>
    <t>Т. В. КРИСЕНКО</t>
  </si>
  <si>
    <t>шкільні журнали</t>
  </si>
  <si>
    <t>0211162 "Інші програми та заходи у сфері освіти"</t>
  </si>
  <si>
    <t xml:space="preserve">РОЗШИФРОВКА до показників бюджету на 2018 рік по </t>
  </si>
  <si>
    <t>перевірка димоходів</t>
  </si>
  <si>
    <t>грн.</t>
  </si>
  <si>
    <t>Затверджено на рік</t>
  </si>
  <si>
    <t>Уточнений план на рік</t>
  </si>
  <si>
    <t>Уточнений план на період</t>
  </si>
  <si>
    <t>Касові видатки</t>
  </si>
  <si>
    <t>Залишки коштів на реєстраційному рахунку</t>
  </si>
  <si>
    <t>Залишки призначень за звітний період</t>
  </si>
  <si>
    <t>Залишки призначень до кінця року</t>
  </si>
  <si>
    <t>Відсоток виконання до плану на звітний період</t>
  </si>
  <si>
    <t>Продукти харчування</t>
  </si>
  <si>
    <t>по комунальному закладу "Чаплинська загальноосвітня школа І-ІІІ ступенів" Юр'ївської районної ради Дніпропетровської області</t>
  </si>
  <si>
    <t>страховка транспорту</t>
  </si>
  <si>
    <t>обслуговування програми "Курс школа"</t>
  </si>
  <si>
    <t>питна вода</t>
  </si>
  <si>
    <t>атестати</t>
  </si>
  <si>
    <t>бензин, дизпаливо</t>
  </si>
  <si>
    <t>масло, тосол, антифриз</t>
  </si>
  <si>
    <t>повірка газових лічильників</t>
  </si>
  <si>
    <t>повірка коректорів газу</t>
  </si>
  <si>
    <t>обслуговування газових ШРП</t>
  </si>
  <si>
    <t>повірка контрольно-вимірювальних приладів</t>
  </si>
  <si>
    <t>поточний ремонт приміщень котелень</t>
  </si>
  <si>
    <t>лабораторне дослідження води</t>
  </si>
  <si>
    <t>технічне обслуговування шкільних автобусів</t>
  </si>
  <si>
    <t>проходження техогляду автобусів</t>
  </si>
  <si>
    <t>виготовлення проектів систем притипожежного захисту</t>
  </si>
  <si>
    <t>придбання ліцензії на програму "Медок"</t>
  </si>
  <si>
    <t>Чаплинська загальноосвітня школа І-ІІІ ступенів</t>
  </si>
  <si>
    <t xml:space="preserve">Директор </t>
  </si>
  <si>
    <t>Н.Ю.Балєва</t>
  </si>
  <si>
    <t xml:space="preserve">Бухгалтер                                                            </t>
  </si>
  <si>
    <t>Л.А.Туєва</t>
  </si>
  <si>
    <t>Видатки на відрядження</t>
  </si>
  <si>
    <t>Придбання обладнання і предметів довгострокового користування</t>
  </si>
  <si>
    <t>державна субвенція "нова українська школа"</t>
  </si>
  <si>
    <t>послуги по проведенню тендеру по природн.газу</t>
  </si>
  <si>
    <t>навчання охорона праці газ.госп.опер. котельні</t>
  </si>
  <si>
    <t>навчання відповідальних за електрогосп</t>
  </si>
  <si>
    <t xml:space="preserve">Навч охорона праці </t>
  </si>
  <si>
    <t xml:space="preserve">Навчання працівників  з протипожежної безпеки </t>
  </si>
  <si>
    <t>пусконаладка котлів, режимна наладка котлів</t>
  </si>
  <si>
    <t>розпломб.електроліч.(ліцензування навчального закладу)</t>
  </si>
  <si>
    <t xml:space="preserve"> запчастини</t>
  </si>
  <si>
    <t>електротовари</t>
  </si>
  <si>
    <t>спортивний інвентар (с/р)</t>
  </si>
  <si>
    <t>залишки субвенції</t>
  </si>
  <si>
    <t>придбання дидактичного матеріалу (співфін)</t>
  </si>
  <si>
    <t>придбання меблів для початкових класів(співф)</t>
  </si>
  <si>
    <t>придбання дидактичного матеріалу (субвенц)</t>
  </si>
  <si>
    <t>придбання  меблів для початкових класів(субвенц)</t>
  </si>
  <si>
    <t>проходження медичного огляду</t>
  </si>
  <si>
    <t>ворота (кошти с/р)</t>
  </si>
  <si>
    <t>матеріали для ремонту</t>
  </si>
  <si>
    <t>мультимедія(принтер,кріпл.,кабель)(субв.)</t>
  </si>
  <si>
    <t>мультимедія(принтер,кріпл.,кабель)(залиш.субв.)</t>
  </si>
  <si>
    <t>спортивний інвентар (залиш.субв.)</t>
  </si>
  <si>
    <t>меблі(шафи)(с/р)</t>
  </si>
  <si>
    <t>килимове покриття для 1 кл.(залиш.субв.)</t>
  </si>
  <si>
    <t>водонагрівач</t>
  </si>
  <si>
    <t>електротовари для їдальні</t>
  </si>
  <si>
    <t>протигази</t>
  </si>
  <si>
    <t>пуфи (залишок субвенції)</t>
  </si>
  <si>
    <t>наповнювач для пуфів, пуфи, коврики</t>
  </si>
  <si>
    <t>ОСБ</t>
  </si>
  <si>
    <t>Леноліум (с/р)</t>
  </si>
  <si>
    <t>ОСБ (с/р)</t>
  </si>
  <si>
    <t>денрж.субв. НУШ(інтеракт.дошка,проектор,ноутбук)</t>
  </si>
  <si>
    <t>підписка журнал</t>
  </si>
  <si>
    <t>придбання парти для початкових класів(зал.субв.)</t>
  </si>
  <si>
    <t>придбання меблів для початкових класів(зал.субв.)</t>
  </si>
  <si>
    <t>співфінанс.НУШ (інтеракт.дошка,проектор,ноутбук)</t>
  </si>
  <si>
    <t>телекомунікаційні прилади зв’язку(модем,роутер,кабель,т.ін.)(субв.)</t>
  </si>
  <si>
    <t>послуги(підключ.,налагодж.) зв’язку(субв.)</t>
  </si>
  <si>
    <t>встановлення модему ІMOD для коректора об’єму газу</t>
  </si>
  <si>
    <t xml:space="preserve">меблі </t>
  </si>
  <si>
    <t>Аналіз  видатків  бюджету  за січень-грудень 2019 року</t>
  </si>
  <si>
    <t>Всього  МБ</t>
  </si>
  <si>
    <t>Всього  ОС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</si>
</sst>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"/>
    <numFmt numFmtId="190" formatCode="#,##0.000"/>
    <numFmt numFmtId="191" formatCode="#,##0.0000"/>
    <numFmt numFmtId="192" formatCode="#,##0.0"/>
    <numFmt numFmtId="193" formatCode="0.000000"/>
    <numFmt numFmtId="194" formatCode="0.00000"/>
    <numFmt numFmtId="195" formatCode="0.0000"/>
    <numFmt numFmtId="196" formatCode="0.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2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i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u val="single"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10"/>
      <name val="Arial Cyr"/>
      <family val="0"/>
    </font>
    <font>
      <sz val="9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45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4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7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4" fontId="6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 wrapText="1"/>
    </xf>
    <xf numFmtId="4" fontId="3" fillId="0" borderId="2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 textRotation="90" wrapText="1"/>
    </xf>
    <xf numFmtId="4" fontId="3" fillId="0" borderId="2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" fontId="0" fillId="0" borderId="27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4" fontId="6" fillId="0" borderId="35" xfId="0" applyNumberFormat="1" applyFon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textRotation="90"/>
    </xf>
    <xf numFmtId="4" fontId="0" fillId="0" borderId="40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 textRotation="90"/>
    </xf>
    <xf numFmtId="4" fontId="0" fillId="5" borderId="41" xfId="0" applyNumberFormat="1" applyFont="1" applyFill="1" applyBorder="1" applyAlignment="1">
      <alignment vertical="center"/>
    </xf>
    <xf numFmtId="4" fontId="1" fillId="5" borderId="42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horizontal="center" vertical="center" textRotation="90"/>
    </xf>
    <xf numFmtId="4" fontId="0" fillId="5" borderId="31" xfId="0" applyNumberFormat="1" applyFont="1" applyFill="1" applyBorder="1" applyAlignment="1">
      <alignment vertical="center"/>
    </xf>
    <xf numFmtId="4" fontId="1" fillId="5" borderId="37" xfId="0" applyNumberFormat="1" applyFont="1" applyFill="1" applyBorder="1" applyAlignment="1">
      <alignment vertical="center"/>
    </xf>
    <xf numFmtId="4" fontId="0" fillId="3" borderId="30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horizontal="center" vertical="center"/>
    </xf>
    <xf numFmtId="4" fontId="1" fillId="7" borderId="43" xfId="0" applyNumberFormat="1" applyFont="1" applyFill="1" applyBorder="1" applyAlignment="1">
      <alignment vertical="center"/>
    </xf>
    <xf numFmtId="4" fontId="1" fillId="7" borderId="44" xfId="0" applyNumberFormat="1" applyFont="1" applyFill="1" applyBorder="1" applyAlignment="1">
      <alignment vertical="center"/>
    </xf>
    <xf numFmtId="4" fontId="6" fillId="7" borderId="18" xfId="0" applyNumberFormat="1" applyFont="1" applyFill="1" applyBorder="1" applyAlignment="1">
      <alignment vertical="center"/>
    </xf>
    <xf numFmtId="4" fontId="1" fillId="7" borderId="38" xfId="0" applyNumberFormat="1" applyFont="1" applyFill="1" applyBorder="1" applyAlignment="1">
      <alignment vertical="center"/>
    </xf>
    <xf numFmtId="4" fontId="1" fillId="7" borderId="16" xfId="0" applyNumberFormat="1" applyFont="1" applyFill="1" applyBorder="1" applyAlignment="1">
      <alignment vertical="center"/>
    </xf>
    <xf numFmtId="4" fontId="6" fillId="7" borderId="38" xfId="0" applyNumberFormat="1" applyFont="1" applyFill="1" applyBorder="1" applyAlignment="1">
      <alignment vertical="center"/>
    </xf>
    <xf numFmtId="4" fontId="6" fillId="7" borderId="16" xfId="0" applyNumberFormat="1" applyFont="1" applyFill="1" applyBorder="1" applyAlignment="1">
      <alignment vertical="center"/>
    </xf>
    <xf numFmtId="4" fontId="6" fillId="7" borderId="44" xfId="0" applyNumberFormat="1" applyFont="1" applyFill="1" applyBorder="1" applyAlignment="1">
      <alignment vertical="center"/>
    </xf>
    <xf numFmtId="4" fontId="7" fillId="7" borderId="38" xfId="0" applyNumberFormat="1" applyFont="1" applyFill="1" applyBorder="1" applyAlignment="1">
      <alignment vertical="center"/>
    </xf>
    <xf numFmtId="4" fontId="7" fillId="7" borderId="45" xfId="0" applyNumberFormat="1" applyFont="1" applyFill="1" applyBorder="1" applyAlignment="1">
      <alignment vertical="center"/>
    </xf>
    <xf numFmtId="0" fontId="10" fillId="7" borderId="28" xfId="0" applyFont="1" applyFill="1" applyBorder="1" applyAlignment="1">
      <alignment horizontal="center" vertical="center"/>
    </xf>
    <xf numFmtId="4" fontId="1" fillId="7" borderId="46" xfId="0" applyNumberFormat="1" applyFont="1" applyFill="1" applyBorder="1" applyAlignment="1">
      <alignment vertical="center"/>
    </xf>
    <xf numFmtId="4" fontId="1" fillId="7" borderId="27" xfId="0" applyNumberFormat="1" applyFont="1" applyFill="1" applyBorder="1" applyAlignment="1">
      <alignment vertical="center"/>
    </xf>
    <xf numFmtId="4" fontId="1" fillId="7" borderId="16" xfId="0" applyNumberFormat="1" applyFont="1" applyFill="1" applyBorder="1" applyAlignment="1">
      <alignment horizontal="right" vertical="center"/>
    </xf>
    <xf numFmtId="4" fontId="1" fillId="7" borderId="36" xfId="0" applyNumberFormat="1" applyFont="1" applyFill="1" applyBorder="1" applyAlignment="1">
      <alignment vertical="center"/>
    </xf>
    <xf numFmtId="4" fontId="1" fillId="7" borderId="45" xfId="0" applyNumberFormat="1" applyFont="1" applyFill="1" applyBorder="1" applyAlignment="1">
      <alignment horizontal="right" vertical="center"/>
    </xf>
    <xf numFmtId="4" fontId="6" fillId="7" borderId="24" xfId="0" applyNumberFormat="1" applyFont="1" applyFill="1" applyBorder="1" applyAlignment="1">
      <alignment vertical="center"/>
    </xf>
    <xf numFmtId="4" fontId="6" fillId="7" borderId="18" xfId="0" applyNumberFormat="1" applyFont="1" applyFill="1" applyBorder="1" applyAlignment="1">
      <alignment horizontal="right" vertical="center"/>
    </xf>
    <xf numFmtId="4" fontId="0" fillId="7" borderId="46" xfId="0" applyNumberFormat="1" applyFont="1" applyFill="1" applyBorder="1" applyAlignment="1">
      <alignment vertical="center"/>
    </xf>
    <xf numFmtId="4" fontId="6" fillId="7" borderId="32" xfId="0" applyNumberFormat="1" applyFont="1" applyFill="1" applyBorder="1" applyAlignment="1">
      <alignment vertical="center"/>
    </xf>
    <xf numFmtId="4" fontId="6" fillId="7" borderId="15" xfId="0" applyNumberFormat="1" applyFont="1" applyFill="1" applyBorder="1" applyAlignment="1">
      <alignment vertical="center"/>
    </xf>
    <xf numFmtId="4" fontId="6" fillId="7" borderId="33" xfId="0" applyNumberFormat="1" applyFont="1" applyFill="1" applyBorder="1" applyAlignment="1">
      <alignment vertical="center"/>
    </xf>
    <xf numFmtId="4" fontId="7" fillId="7" borderId="29" xfId="0" applyNumberFormat="1" applyFont="1" applyFill="1" applyBorder="1" applyAlignment="1">
      <alignment vertical="center"/>
    </xf>
    <xf numFmtId="4" fontId="7" fillId="7" borderId="36" xfId="0" applyNumberFormat="1" applyFont="1" applyFill="1" applyBorder="1" applyAlignment="1">
      <alignment vertical="center"/>
    </xf>
    <xf numFmtId="4" fontId="6" fillId="7" borderId="28" xfId="0" applyNumberFormat="1" applyFont="1" applyFill="1" applyBorder="1" applyAlignment="1">
      <alignment vertical="center"/>
    </xf>
    <xf numFmtId="0" fontId="10" fillId="7" borderId="47" xfId="0" applyFont="1" applyFill="1" applyBorder="1" applyAlignment="1">
      <alignment horizontal="center" vertical="center"/>
    </xf>
    <xf numFmtId="4" fontId="6" fillId="7" borderId="34" xfId="0" applyNumberFormat="1" applyFont="1" applyFill="1" applyBorder="1" applyAlignment="1">
      <alignment vertical="center"/>
    </xf>
    <xf numFmtId="4" fontId="1" fillId="7" borderId="10" xfId="0" applyNumberFormat="1" applyFont="1" applyFill="1" applyBorder="1" applyAlignment="1">
      <alignment vertical="center"/>
    </xf>
    <xf numFmtId="4" fontId="0" fillId="7" borderId="10" xfId="0" applyNumberFormat="1" applyFont="1" applyFill="1" applyBorder="1" applyAlignment="1">
      <alignment vertical="center"/>
    </xf>
    <xf numFmtId="4" fontId="1" fillId="7" borderId="45" xfId="0" applyNumberFormat="1" applyFont="1" applyFill="1" applyBorder="1" applyAlignment="1">
      <alignment vertical="center"/>
    </xf>
    <xf numFmtId="4" fontId="1" fillId="7" borderId="15" xfId="0" applyNumberFormat="1" applyFont="1" applyFill="1" applyBorder="1" applyAlignment="1">
      <alignment vertical="center"/>
    </xf>
    <xf numFmtId="4" fontId="0" fillId="7" borderId="15" xfId="0" applyNumberFormat="1" applyFont="1" applyFill="1" applyBorder="1" applyAlignment="1">
      <alignment vertical="center"/>
    </xf>
    <xf numFmtId="4" fontId="0" fillId="7" borderId="16" xfId="0" applyNumberFormat="1" applyFont="1" applyFill="1" applyBorder="1" applyAlignment="1">
      <alignment vertical="center"/>
    </xf>
    <xf numFmtId="0" fontId="10" fillId="7" borderId="48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4" fontId="1" fillId="7" borderId="30" xfId="0" applyNumberFormat="1" applyFont="1" applyFill="1" applyBorder="1" applyAlignment="1">
      <alignment vertical="center"/>
    </xf>
    <xf numFmtId="4" fontId="1" fillId="7" borderId="49" xfId="0" applyNumberFormat="1" applyFont="1" applyFill="1" applyBorder="1" applyAlignment="1">
      <alignment vertical="center"/>
    </xf>
    <xf numFmtId="4" fontId="1" fillId="7" borderId="50" xfId="0" applyNumberFormat="1" applyFont="1" applyFill="1" applyBorder="1" applyAlignment="1">
      <alignment vertical="center"/>
    </xf>
    <xf numFmtId="4" fontId="6" fillId="7" borderId="48" xfId="0" applyNumberFormat="1" applyFont="1" applyFill="1" applyBorder="1" applyAlignment="1">
      <alignment vertical="center"/>
    </xf>
    <xf numFmtId="4" fontId="6" fillId="7" borderId="39" xfId="0" applyNumberFormat="1" applyFont="1" applyFill="1" applyBorder="1" applyAlignment="1">
      <alignment vertical="center"/>
    </xf>
    <xf numFmtId="4" fontId="0" fillId="7" borderId="30" xfId="0" applyNumberFormat="1" applyFont="1" applyFill="1" applyBorder="1" applyAlignment="1">
      <alignment vertical="center"/>
    </xf>
    <xf numFmtId="4" fontId="7" fillId="7" borderId="32" xfId="0" applyNumberFormat="1" applyFont="1" applyFill="1" applyBorder="1" applyAlignment="1">
      <alignment vertical="center"/>
    </xf>
    <xf numFmtId="4" fontId="7" fillId="7" borderId="21" xfId="0" applyNumberFormat="1" applyFont="1" applyFill="1" applyBorder="1" applyAlignment="1">
      <alignment vertical="center"/>
    </xf>
    <xf numFmtId="4" fontId="7" fillId="7" borderId="49" xfId="0" applyNumberFormat="1" applyFont="1" applyFill="1" applyBorder="1" applyAlignment="1">
      <alignment vertical="center"/>
    </xf>
    <xf numFmtId="4" fontId="7" fillId="7" borderId="50" xfId="0" applyNumberFormat="1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4" fontId="1" fillId="3" borderId="22" xfId="0" applyNumberFormat="1" applyFont="1" applyFill="1" applyBorder="1" applyAlignment="1">
      <alignment horizontal="center" vertical="center"/>
    </xf>
    <xf numFmtId="4" fontId="6" fillId="3" borderId="24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vertical="center"/>
    </xf>
    <xf numFmtId="4" fontId="6" fillId="3" borderId="15" xfId="0" applyNumberFormat="1" applyFont="1" applyFill="1" applyBorder="1" applyAlignment="1">
      <alignment vertical="center"/>
    </xf>
    <xf numFmtId="4" fontId="6" fillId="3" borderId="33" xfId="0" applyNumberFormat="1" applyFont="1" applyFill="1" applyBorder="1" applyAlignment="1">
      <alignment vertical="center"/>
    </xf>
    <xf numFmtId="4" fontId="7" fillId="3" borderId="23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4" fontId="6" fillId="4" borderId="38" xfId="0" applyNumberFormat="1" applyFont="1" applyFill="1" applyBorder="1" applyAlignment="1">
      <alignment vertical="center"/>
    </xf>
    <xf numFmtId="4" fontId="6" fillId="5" borderId="38" xfId="0" applyNumberFormat="1" applyFont="1" applyFill="1" applyBorder="1" applyAlignment="1">
      <alignment vertical="center"/>
    </xf>
    <xf numFmtId="4" fontId="9" fillId="5" borderId="16" xfId="0" applyNumberFormat="1" applyFont="1" applyFill="1" applyBorder="1" applyAlignment="1">
      <alignment vertical="center"/>
    </xf>
    <xf numFmtId="4" fontId="9" fillId="4" borderId="16" xfId="0" applyNumberFormat="1" applyFont="1" applyFill="1" applyBorder="1" applyAlignment="1">
      <alignment vertical="center"/>
    </xf>
    <xf numFmtId="4" fontId="9" fillId="5" borderId="44" xfId="0" applyNumberFormat="1" applyFont="1" applyFill="1" applyBorder="1" applyAlignment="1">
      <alignment vertical="center"/>
    </xf>
    <xf numFmtId="4" fontId="9" fillId="4" borderId="44" xfId="0" applyNumberFormat="1" applyFont="1" applyFill="1" applyBorder="1" applyAlignment="1">
      <alignment vertical="center"/>
    </xf>
    <xf numFmtId="4" fontId="7" fillId="5" borderId="38" xfId="0" applyNumberFormat="1" applyFont="1" applyFill="1" applyBorder="1" applyAlignment="1">
      <alignment vertical="center"/>
    </xf>
    <xf numFmtId="4" fontId="7" fillId="5" borderId="45" xfId="0" applyNumberFormat="1" applyFont="1" applyFill="1" applyBorder="1" applyAlignment="1">
      <alignment vertical="center"/>
    </xf>
    <xf numFmtId="4" fontId="8" fillId="4" borderId="38" xfId="0" applyNumberFormat="1" applyFont="1" applyFill="1" applyBorder="1" applyAlignment="1">
      <alignment vertical="center"/>
    </xf>
    <xf numFmtId="4" fontId="8" fillId="4" borderId="45" xfId="0" applyNumberFormat="1" applyFont="1" applyFill="1" applyBorder="1" applyAlignment="1">
      <alignment vertical="center"/>
    </xf>
    <xf numFmtId="4" fontId="9" fillId="7" borderId="18" xfId="0" applyNumberFormat="1" applyFont="1" applyFill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horizontal="right" vertical="center"/>
    </xf>
    <xf numFmtId="4" fontId="7" fillId="0" borderId="39" xfId="0" applyNumberFormat="1" applyFont="1" applyBorder="1" applyAlignment="1">
      <alignment horizontal="right" vertical="center"/>
    </xf>
    <xf numFmtId="4" fontId="7" fillId="0" borderId="5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" fontId="7" fillId="18" borderId="12" xfId="0" applyNumberFormat="1" applyFont="1" applyFill="1" applyBorder="1" applyAlignment="1">
      <alignment horizontal="right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/>
    </xf>
    <xf numFmtId="3" fontId="0" fillId="3" borderId="22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6" fillId="3" borderId="33" xfId="0" applyNumberFormat="1" applyFont="1" applyFill="1" applyBorder="1" applyAlignment="1">
      <alignment vertical="center"/>
    </xf>
    <xf numFmtId="3" fontId="7" fillId="3" borderId="2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11" fillId="0" borderId="0" xfId="0" applyFont="1" applyAlignment="1">
      <alignment wrapText="1"/>
    </xf>
    <xf numFmtId="0" fontId="18" fillId="9" borderId="51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" fontId="9" fillId="3" borderId="31" xfId="0" applyNumberFormat="1" applyFont="1" applyFill="1" applyBorder="1" applyAlignment="1">
      <alignment vertical="center"/>
    </xf>
    <xf numFmtId="4" fontId="9" fillId="4" borderId="31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" fontId="9" fillId="3" borderId="40" xfId="0" applyNumberFormat="1" applyFont="1" applyFill="1" applyBorder="1" applyAlignment="1">
      <alignment vertical="center"/>
    </xf>
    <xf numFmtId="4" fontId="9" fillId="4" borderId="40" xfId="0" applyNumberFormat="1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4" fontId="16" fillId="0" borderId="39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4" fontId="18" fillId="4" borderId="4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4" fontId="9" fillId="4" borderId="11" xfId="0" applyNumberFormat="1" applyFont="1" applyFill="1" applyBorder="1" applyAlignment="1">
      <alignment vertical="center"/>
    </xf>
    <xf numFmtId="4" fontId="18" fillId="4" borderId="10" xfId="0" applyNumberFormat="1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4" fontId="18" fillId="9" borderId="40" xfId="0" applyNumberFormat="1" applyFont="1" applyFill="1" applyBorder="1" applyAlignment="1">
      <alignment horizontal="center" vertical="center" wrapText="1"/>
    </xf>
    <xf numFmtId="2" fontId="16" fillId="0" borderId="4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vertical="center"/>
    </xf>
    <xf numFmtId="2" fontId="0" fillId="0" borderId="26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4" fontId="19" fillId="6" borderId="40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4" fontId="19" fillId="9" borderId="53" xfId="0" applyNumberFormat="1" applyFont="1" applyFill="1" applyBorder="1" applyAlignment="1">
      <alignment horizontal="center" vertical="center" wrapText="1"/>
    </xf>
    <xf numFmtId="4" fontId="9" fillId="3" borderId="53" xfId="0" applyNumberFormat="1" applyFont="1" applyFill="1" applyBorder="1" applyAlignment="1">
      <alignment vertical="center"/>
    </xf>
    <xf numFmtId="4" fontId="9" fillId="4" borderId="53" xfId="0" applyNumberFormat="1" applyFont="1" applyFill="1" applyBorder="1" applyAlignment="1">
      <alignment vertical="center"/>
    </xf>
    <xf numFmtId="4" fontId="16" fillId="0" borderId="28" xfId="0" applyNumberFormat="1" applyFont="1" applyBorder="1" applyAlignment="1">
      <alignment horizontal="center" vertical="center" wrapText="1"/>
    </xf>
    <xf numFmtId="4" fontId="16" fillId="0" borderId="1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4" borderId="0" xfId="0" applyFont="1" applyFill="1" applyAlignment="1">
      <alignment vertical="center"/>
    </xf>
    <xf numFmtId="0" fontId="10" fillId="4" borderId="0" xfId="0" applyFont="1" applyFill="1" applyBorder="1" applyAlignment="1">
      <alignment vertical="center"/>
    </xf>
    <xf numFmtId="0" fontId="6" fillId="4" borderId="16" xfId="0" applyFont="1" applyFill="1" applyBorder="1" applyAlignment="1" quotePrefix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3" fillId="19" borderId="0" xfId="0" applyFont="1" applyFill="1" applyAlignment="1">
      <alignment vertical="center"/>
    </xf>
    <xf numFmtId="0" fontId="11" fillId="0" borderId="0" xfId="0" applyFont="1" applyAlignment="1">
      <alignment horizontal="center" vertical="top" wrapText="1"/>
    </xf>
    <xf numFmtId="0" fontId="0" fillId="4" borderId="0" xfId="0" applyFill="1" applyAlignment="1">
      <alignment/>
    </xf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0" fontId="6" fillId="0" borderId="0" xfId="0" applyFont="1" applyAlignment="1">
      <alignment horizontal="center" vertical="top" wrapText="1"/>
    </xf>
    <xf numFmtId="0" fontId="6" fillId="9" borderId="43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/>
    </xf>
    <xf numFmtId="4" fontId="18" fillId="9" borderId="1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13" fillId="4" borderId="0" xfId="0" applyNumberFormat="1" applyFont="1" applyFill="1" applyAlignment="1">
      <alignment vertical="center"/>
    </xf>
    <xf numFmtId="4" fontId="9" fillId="20" borderId="54" xfId="0" applyNumberFormat="1" applyFont="1" applyFill="1" applyBorder="1" applyAlignment="1">
      <alignment horizontal="right" vertical="center"/>
    </xf>
    <xf numFmtId="4" fontId="9" fillId="20" borderId="31" xfId="0" applyNumberFormat="1" applyFont="1" applyFill="1" applyBorder="1" applyAlignment="1">
      <alignment horizontal="right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3" borderId="10" xfId="0" applyNumberFormat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3" fillId="17" borderId="0" xfId="0" applyFont="1" applyFill="1" applyBorder="1" applyAlignment="1">
      <alignment vertical="center"/>
    </xf>
    <xf numFmtId="0" fontId="6" fillId="20" borderId="16" xfId="0" applyFont="1" applyFill="1" applyBorder="1" applyAlignment="1">
      <alignment horizontal="center" vertical="center"/>
    </xf>
    <xf numFmtId="4" fontId="9" fillId="10" borderId="10" xfId="0" applyNumberFormat="1" applyFont="1" applyFill="1" applyBorder="1" applyAlignment="1">
      <alignment horizontal="right" vertical="center"/>
    </xf>
    <xf numFmtId="0" fontId="6" fillId="10" borderId="1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4" fontId="18" fillId="9" borderId="14" xfId="0" applyNumberFormat="1" applyFont="1" applyFill="1" applyBorder="1" applyAlignment="1">
      <alignment vertical="center"/>
    </xf>
    <xf numFmtId="4" fontId="18" fillId="9" borderId="12" xfId="0" applyNumberFormat="1" applyFont="1" applyFill="1" applyBorder="1" applyAlignment="1">
      <alignment horizontal="right" vertical="center" wrapText="1"/>
    </xf>
    <xf numFmtId="0" fontId="6" fillId="0" borderId="56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4" fontId="18" fillId="9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/>
    </xf>
    <xf numFmtId="0" fontId="6" fillId="9" borderId="38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 wrapText="1"/>
    </xf>
    <xf numFmtId="192" fontId="18" fillId="9" borderId="20" xfId="0" applyNumberFormat="1" applyFont="1" applyFill="1" applyBorder="1" applyAlignment="1">
      <alignment vertical="center"/>
    </xf>
    <xf numFmtId="192" fontId="9" fillId="0" borderId="26" xfId="0" applyNumberFormat="1" applyFont="1" applyFill="1" applyBorder="1" applyAlignment="1">
      <alignment horizontal="right" vertical="center"/>
    </xf>
    <xf numFmtId="192" fontId="18" fillId="9" borderId="26" xfId="0" applyNumberFormat="1" applyFont="1" applyFill="1" applyBorder="1" applyAlignment="1">
      <alignment vertical="center"/>
    </xf>
    <xf numFmtId="192" fontId="9" fillId="10" borderId="26" xfId="0" applyNumberFormat="1" applyFont="1" applyFill="1" applyBorder="1" applyAlignment="1">
      <alignment horizontal="right" vertical="center"/>
    </xf>
    <xf numFmtId="192" fontId="9" fillId="20" borderId="26" xfId="0" applyNumberFormat="1" applyFont="1" applyFill="1" applyBorder="1" applyAlignment="1">
      <alignment horizontal="right" vertical="center"/>
    </xf>
    <xf numFmtId="192" fontId="9" fillId="3" borderId="26" xfId="0" applyNumberFormat="1" applyFont="1" applyFill="1" applyBorder="1" applyAlignment="1">
      <alignment horizontal="right" vertical="center"/>
    </xf>
    <xf numFmtId="192" fontId="18" fillId="9" borderId="26" xfId="0" applyNumberFormat="1" applyFont="1" applyFill="1" applyBorder="1" applyAlignment="1">
      <alignment horizontal="right" vertical="center" wrapText="1"/>
    </xf>
    <xf numFmtId="192" fontId="0" fillId="0" borderId="26" xfId="0" applyNumberFormat="1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192" fontId="9" fillId="0" borderId="17" xfId="0" applyNumberFormat="1" applyFont="1" applyFill="1" applyBorder="1" applyAlignment="1">
      <alignment horizontal="right" vertical="center"/>
    </xf>
    <xf numFmtId="0" fontId="7" fillId="9" borderId="31" xfId="0" applyFont="1" applyFill="1" applyBorder="1" applyAlignment="1">
      <alignment horizontal="center" vertical="center" wrapText="1"/>
    </xf>
    <xf numFmtId="192" fontId="18" fillId="9" borderId="19" xfId="0" applyNumberFormat="1" applyFont="1" applyFill="1" applyBorder="1" applyAlignment="1">
      <alignment horizontal="right" vertical="center" wrapText="1"/>
    </xf>
    <xf numFmtId="192" fontId="47" fillId="0" borderId="2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92" fontId="6" fillId="9" borderId="26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92" fontId="18" fillId="9" borderId="10" xfId="0" applyNumberFormat="1" applyFont="1" applyFill="1" applyBorder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9" fillId="20" borderId="40" xfId="0" applyFont="1" applyFill="1" applyBorder="1" applyAlignment="1">
      <alignment horizontal="center" vertical="center" wrapText="1"/>
    </xf>
    <xf numFmtId="0" fontId="6" fillId="20" borderId="43" xfId="0" applyFont="1" applyFill="1" applyBorder="1" applyAlignment="1">
      <alignment horizontal="center" vertical="center"/>
    </xf>
    <xf numFmtId="192" fontId="9" fillId="20" borderId="31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4" fontId="9" fillId="7" borderId="10" xfId="0" applyNumberFormat="1" applyFont="1" applyFill="1" applyBorder="1" applyAlignment="1">
      <alignment horizontal="right" vertical="center"/>
    </xf>
    <xf numFmtId="192" fontId="9" fillId="7" borderId="26" xfId="0" applyNumberFormat="1" applyFont="1" applyFill="1" applyBorder="1" applyAlignment="1">
      <alignment horizontal="right" vertical="center"/>
    </xf>
    <xf numFmtId="0" fontId="43" fillId="7" borderId="16" xfId="0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6" fillId="9" borderId="47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8" fillId="9" borderId="58" xfId="0" applyFont="1" applyFill="1" applyBorder="1" applyAlignment="1">
      <alignment horizontal="center" vertical="center" wrapText="1"/>
    </xf>
    <xf numFmtId="0" fontId="18" fillId="9" borderId="60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19" fillId="3" borderId="58" xfId="0" applyFont="1" applyFill="1" applyBorder="1" applyAlignment="1">
      <alignment horizontal="center" vertical="center" wrapText="1"/>
    </xf>
    <xf numFmtId="0" fontId="19" fillId="3" borderId="6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4:AV8"/>
  <sheetViews>
    <sheetView zoomScalePageLayoutView="0" workbookViewId="0" topLeftCell="A4">
      <pane xSplit="1" ySplit="2" topLeftCell="L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C22" sqref="C22"/>
    </sheetView>
  </sheetViews>
  <sheetFormatPr defaultColWidth="9.00390625" defaultRowHeight="12.75"/>
  <cols>
    <col min="1" max="1" width="29.875" style="0" customWidth="1"/>
    <col min="2" max="2" width="15.00390625" style="0" customWidth="1"/>
    <col min="3" max="4" width="13.75390625" style="0" customWidth="1"/>
    <col min="5" max="5" width="12.125" style="0" customWidth="1"/>
    <col min="6" max="6" width="12.75390625" style="0" customWidth="1"/>
    <col min="7" max="7" width="14.375" style="0" customWidth="1"/>
    <col min="8" max="8" width="14.375" style="0" hidden="1" customWidth="1"/>
    <col min="9" max="9" width="13.625" style="3" customWidth="1"/>
    <col min="10" max="11" width="11.75390625" style="3" customWidth="1"/>
    <col min="12" max="12" width="11.875" style="3" customWidth="1"/>
    <col min="13" max="13" width="11.25390625" style="3" customWidth="1"/>
    <col min="14" max="16" width="13.625" style="0" customWidth="1"/>
    <col min="17" max="17" width="13.375" style="0" customWidth="1"/>
    <col min="18" max="18" width="14.00390625" style="0" customWidth="1"/>
    <col min="19" max="20" width="12.00390625" style="0" customWidth="1"/>
    <col min="21" max="21" width="10.875" style="0" customWidth="1"/>
    <col min="22" max="22" width="10.375" style="0" customWidth="1"/>
    <col min="23" max="23" width="10.125" style="0" customWidth="1"/>
    <col min="24" max="24" width="9.25390625" style="0" customWidth="1"/>
    <col min="25" max="25" width="11.75390625" style="0" customWidth="1"/>
    <col min="26" max="26" width="9.75390625" style="0" customWidth="1"/>
    <col min="27" max="27" width="10.875" style="0" customWidth="1"/>
    <col min="28" max="28" width="9.75390625" style="0" customWidth="1"/>
    <col min="29" max="29" width="11.00390625" style="0" customWidth="1"/>
    <col min="30" max="30" width="10.625" style="0" customWidth="1"/>
    <col min="31" max="31" width="7.625" style="0" customWidth="1"/>
    <col min="32" max="32" width="11.125" style="0" customWidth="1"/>
    <col min="33" max="33" width="7.75390625" style="0" customWidth="1"/>
    <col min="34" max="34" width="8.00390625" style="0" customWidth="1"/>
    <col min="35" max="35" width="11.375" style="0" customWidth="1"/>
    <col min="36" max="36" width="7.875" style="0" customWidth="1"/>
    <col min="37" max="37" width="9.75390625" style="0" customWidth="1"/>
    <col min="39" max="39" width="9.25390625" style="0" customWidth="1"/>
    <col min="40" max="40" width="10.375" style="0" customWidth="1"/>
    <col min="41" max="41" width="11.125" style="0" customWidth="1"/>
    <col min="42" max="42" width="13.25390625" style="0" customWidth="1"/>
    <col min="43" max="43" width="10.625" style="0" customWidth="1"/>
    <col min="44" max="44" width="13.25390625" style="0" customWidth="1"/>
    <col min="45" max="45" width="13.375" style="0" customWidth="1"/>
    <col min="46" max="46" width="9.75390625" style="0" customWidth="1"/>
    <col min="47" max="47" width="9.375" style="0" customWidth="1"/>
    <col min="48" max="48" width="17.00390625" style="1" customWidth="1"/>
  </cols>
  <sheetData>
    <row r="4" ht="27.75" customHeight="1" thickBot="1">
      <c r="A4" s="27" t="s">
        <v>54</v>
      </c>
    </row>
    <row r="5" spans="1:48" s="5" customFormat="1" ht="103.5" customHeight="1" thickBot="1">
      <c r="A5" s="38"/>
      <c r="B5" s="93">
        <v>2110</v>
      </c>
      <c r="C5" s="89" t="s">
        <v>44</v>
      </c>
      <c r="D5" s="85" t="s">
        <v>50</v>
      </c>
      <c r="E5" s="83" t="s">
        <v>46</v>
      </c>
      <c r="F5" s="83" t="s">
        <v>47</v>
      </c>
      <c r="G5" s="104">
        <v>2120</v>
      </c>
      <c r="H5" s="104"/>
      <c r="I5" s="93">
        <v>2210</v>
      </c>
      <c r="J5" s="15" t="s">
        <v>23</v>
      </c>
      <c r="K5" s="47" t="s">
        <v>40</v>
      </c>
      <c r="L5" s="15"/>
      <c r="M5" s="47" t="s">
        <v>26</v>
      </c>
      <c r="N5" s="119">
        <v>2230</v>
      </c>
      <c r="O5" s="47" t="s">
        <v>41</v>
      </c>
      <c r="P5" s="47" t="s">
        <v>43</v>
      </c>
      <c r="Q5" s="47" t="s">
        <v>42</v>
      </c>
      <c r="R5" s="93">
        <v>2240</v>
      </c>
      <c r="S5" s="16" t="s">
        <v>38</v>
      </c>
      <c r="T5" s="16" t="s">
        <v>39</v>
      </c>
      <c r="U5" s="17" t="s">
        <v>16</v>
      </c>
      <c r="V5" s="16" t="s">
        <v>35</v>
      </c>
      <c r="W5" s="16" t="s">
        <v>56</v>
      </c>
      <c r="X5" s="16" t="s">
        <v>5</v>
      </c>
      <c r="Y5" s="16" t="s">
        <v>57</v>
      </c>
      <c r="Z5" s="16" t="s">
        <v>6</v>
      </c>
      <c r="AA5" s="16" t="s">
        <v>7</v>
      </c>
      <c r="AB5" s="16" t="s">
        <v>36</v>
      </c>
      <c r="AC5" s="16" t="s">
        <v>55</v>
      </c>
      <c r="AD5" s="16" t="s">
        <v>18</v>
      </c>
      <c r="AE5" s="16" t="s">
        <v>3</v>
      </c>
      <c r="AF5" s="16" t="s">
        <v>4</v>
      </c>
      <c r="AG5" s="16" t="s">
        <v>1</v>
      </c>
      <c r="AH5" s="16" t="s">
        <v>20</v>
      </c>
      <c r="AI5" s="16"/>
      <c r="AJ5" s="16" t="s">
        <v>21</v>
      </c>
      <c r="AK5" s="16" t="s">
        <v>9</v>
      </c>
      <c r="AL5" s="16" t="s">
        <v>10</v>
      </c>
      <c r="AM5" s="16" t="s">
        <v>11</v>
      </c>
      <c r="AN5" s="54"/>
      <c r="AO5" s="104">
        <v>2250</v>
      </c>
      <c r="AP5" s="93">
        <v>2270</v>
      </c>
      <c r="AQ5" s="59">
        <v>2272</v>
      </c>
      <c r="AR5" s="59">
        <v>2273</v>
      </c>
      <c r="AS5" s="60">
        <v>2274</v>
      </c>
      <c r="AT5" s="127">
        <v>2282</v>
      </c>
      <c r="AU5" s="128">
        <v>2800</v>
      </c>
      <c r="AV5" s="139" t="s">
        <v>0</v>
      </c>
    </row>
    <row r="6" spans="1:48" s="4" customFormat="1" ht="26.25" customHeight="1">
      <c r="A6" s="35" t="s">
        <v>53</v>
      </c>
      <c r="B6" s="94">
        <f>SUM(C6:F6)</f>
        <v>1251840</v>
      </c>
      <c r="C6" s="90">
        <f>D6+E6+F6</f>
        <v>625920</v>
      </c>
      <c r="D6" s="84">
        <f>52160*12</f>
        <v>625920</v>
      </c>
      <c r="E6" s="84"/>
      <c r="F6" s="84"/>
      <c r="G6" s="105">
        <f>B6*H6</f>
        <v>275404.8</v>
      </c>
      <c r="H6" s="106">
        <v>0.22</v>
      </c>
      <c r="I6" s="107">
        <f>J6+K6+L6+M6</f>
        <v>9230.56</v>
      </c>
      <c r="J6" s="6">
        <f>1527.52+1593.93+930.18+968.93</f>
        <v>5020.5599999999995</v>
      </c>
      <c r="K6" s="66">
        <f>34*65</f>
        <v>2210</v>
      </c>
      <c r="L6" s="6"/>
      <c r="M6" s="48">
        <v>2000</v>
      </c>
      <c r="N6" s="106">
        <f>SUM(O6:Q6)</f>
        <v>134500</v>
      </c>
      <c r="O6" s="66"/>
      <c r="P6" s="66">
        <v>85800</v>
      </c>
      <c r="Q6" s="51">
        <v>48700</v>
      </c>
      <c r="R6" s="98">
        <f>S6+U6+V6+AG6+W6+AE6+AF6+X6+AD6+Y6+Z6+AA6+AB6+AC6+AH6+AI6+AJ6+AK6+AL6+AM6+AN6</f>
        <v>4000</v>
      </c>
      <c r="S6" s="7"/>
      <c r="T6" s="7">
        <v>3000</v>
      </c>
      <c r="U6" s="7">
        <v>600</v>
      </c>
      <c r="V6" s="7"/>
      <c r="W6" s="7">
        <v>250</v>
      </c>
      <c r="X6" s="7">
        <v>350</v>
      </c>
      <c r="Y6" s="7">
        <v>200</v>
      </c>
      <c r="Z6" s="7">
        <v>0</v>
      </c>
      <c r="AA6" s="7">
        <v>200</v>
      </c>
      <c r="AB6" s="7">
        <v>200</v>
      </c>
      <c r="AC6" s="7">
        <v>2200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55"/>
      <c r="AO6" s="105">
        <v>3000</v>
      </c>
      <c r="AP6" s="98">
        <f>AQ6+AR6+AS6</f>
        <v>143119</v>
      </c>
      <c r="AQ6" s="8"/>
      <c r="AR6" s="8">
        <v>23310</v>
      </c>
      <c r="AS6" s="72">
        <v>119809</v>
      </c>
      <c r="AT6" s="124"/>
      <c r="AU6" s="129"/>
      <c r="AV6" s="168">
        <f>B6+G6+I6+N6+AO6+AP6+AT6+AU6+R6</f>
        <v>1821094.36</v>
      </c>
    </row>
    <row r="7" spans="1:48" s="4" customFormat="1" ht="27" customHeight="1" thickBot="1">
      <c r="A7" s="35" t="s">
        <v>51</v>
      </c>
      <c r="B7" s="94">
        <f>SUM(C7:F7)</f>
        <v>3004560</v>
      </c>
      <c r="C7" s="90">
        <f>D7+E7+F7</f>
        <v>1502280</v>
      </c>
      <c r="D7" s="62">
        <f>125190*12</f>
        <v>1502280</v>
      </c>
      <c r="E7" s="62"/>
      <c r="F7" s="62"/>
      <c r="G7" s="105">
        <f>B7*H7</f>
        <v>661003.2</v>
      </c>
      <c r="H7" s="106">
        <v>0.22</v>
      </c>
      <c r="I7" s="107">
        <f>J7+K7+L7+M7</f>
        <v>21625</v>
      </c>
      <c r="J7" s="6">
        <v>12800</v>
      </c>
      <c r="K7" s="65">
        <f>105*65</f>
        <v>6825</v>
      </c>
      <c r="L7" s="6"/>
      <c r="M7" s="48">
        <v>2000</v>
      </c>
      <c r="N7" s="106">
        <f>SUM(O7:Q7)</f>
        <v>0</v>
      </c>
      <c r="O7" s="65"/>
      <c r="P7" s="65"/>
      <c r="Q7" s="51"/>
      <c r="R7" s="98">
        <f>S7+U7+V7+AG7+W7+AE7+AF7+X7+AD7+Y7+Z7+AA7+AB7+AC7+AH7+AI7+AJ7+AK7+AL7+AM7+AN7</f>
        <v>10411.98</v>
      </c>
      <c r="S7" s="7">
        <f>43*75.86</f>
        <v>3261.98</v>
      </c>
      <c r="T7" s="7"/>
      <c r="U7" s="7">
        <v>3000</v>
      </c>
      <c r="V7" s="10"/>
      <c r="W7" s="7">
        <v>400</v>
      </c>
      <c r="X7" s="7">
        <v>350</v>
      </c>
      <c r="Y7" s="7">
        <v>200</v>
      </c>
      <c r="Z7" s="7">
        <v>600</v>
      </c>
      <c r="AA7" s="7">
        <v>200</v>
      </c>
      <c r="AB7" s="7">
        <v>200</v>
      </c>
      <c r="AC7" s="7">
        <v>2200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55"/>
      <c r="AO7" s="105">
        <v>3000</v>
      </c>
      <c r="AP7" s="98">
        <f>AQ7+AR7+AS7</f>
        <v>451341.2</v>
      </c>
      <c r="AQ7" s="8">
        <f>((580*12.49)+(580*23.7))</f>
        <v>20990.2</v>
      </c>
      <c r="AR7" s="8">
        <v>103600</v>
      </c>
      <c r="AS7" s="72">
        <v>326751</v>
      </c>
      <c r="AT7" s="124"/>
      <c r="AU7" s="129"/>
      <c r="AV7" s="168">
        <f>B7+G7+I7+N7+AO7+AP7+AT7+AU7+R7</f>
        <v>4151941.3800000004</v>
      </c>
    </row>
    <row r="8" spans="1:48" s="22" customFormat="1" ht="33.75" customHeight="1" thickBot="1">
      <c r="A8" s="39" t="s">
        <v>52</v>
      </c>
      <c r="B8" s="96">
        <f aca="true" t="shared" si="0" ref="B8:G8">SUM(B6:B6)</f>
        <v>1251840</v>
      </c>
      <c r="C8" s="31">
        <f t="shared" si="0"/>
        <v>625920</v>
      </c>
      <c r="D8" s="158">
        <f t="shared" si="0"/>
        <v>625920</v>
      </c>
      <c r="E8" s="158">
        <f t="shared" si="0"/>
        <v>0</v>
      </c>
      <c r="F8" s="158">
        <f t="shared" si="0"/>
        <v>0</v>
      </c>
      <c r="G8" s="110">
        <f t="shared" si="0"/>
        <v>275404.8</v>
      </c>
      <c r="H8" s="106">
        <v>0.22</v>
      </c>
      <c r="I8" s="111">
        <f aca="true" t="shared" si="1" ref="I8:S8">SUM(I6:I6)</f>
        <v>9230.56</v>
      </c>
      <c r="J8" s="20">
        <f t="shared" si="1"/>
        <v>5020.5599999999995</v>
      </c>
      <c r="K8" s="20">
        <f t="shared" si="1"/>
        <v>2210</v>
      </c>
      <c r="L8" s="20">
        <f t="shared" si="1"/>
        <v>0</v>
      </c>
      <c r="M8" s="50">
        <f t="shared" si="1"/>
        <v>2000</v>
      </c>
      <c r="N8" s="120">
        <f t="shared" si="1"/>
        <v>134500</v>
      </c>
      <c r="O8" s="70">
        <f t="shared" si="1"/>
        <v>0</v>
      </c>
      <c r="P8" s="70">
        <f t="shared" si="1"/>
        <v>85800</v>
      </c>
      <c r="Q8" s="71">
        <f t="shared" si="1"/>
        <v>48700</v>
      </c>
      <c r="R8" s="96">
        <f t="shared" si="1"/>
        <v>4000</v>
      </c>
      <c r="S8" s="21">
        <f t="shared" si="1"/>
        <v>0</v>
      </c>
      <c r="T8" s="21"/>
      <c r="U8" s="21">
        <f aca="true" t="shared" si="2" ref="U8:AV8">SUM(U6:U6)</f>
        <v>600</v>
      </c>
      <c r="V8" s="21">
        <f t="shared" si="2"/>
        <v>0</v>
      </c>
      <c r="W8" s="21">
        <f t="shared" si="2"/>
        <v>250</v>
      </c>
      <c r="X8" s="21">
        <f t="shared" si="2"/>
        <v>350</v>
      </c>
      <c r="Y8" s="21">
        <f t="shared" si="2"/>
        <v>200</v>
      </c>
      <c r="Z8" s="21">
        <f t="shared" si="2"/>
        <v>0</v>
      </c>
      <c r="AA8" s="21">
        <f t="shared" si="2"/>
        <v>200</v>
      </c>
      <c r="AB8" s="21">
        <f t="shared" si="2"/>
        <v>200</v>
      </c>
      <c r="AC8" s="21">
        <f t="shared" si="2"/>
        <v>2200</v>
      </c>
      <c r="AD8" s="21">
        <f t="shared" si="2"/>
        <v>0</v>
      </c>
      <c r="AE8" s="21">
        <f t="shared" si="2"/>
        <v>0</v>
      </c>
      <c r="AF8" s="21">
        <f t="shared" si="2"/>
        <v>0</v>
      </c>
      <c r="AG8" s="21">
        <f t="shared" si="2"/>
        <v>0</v>
      </c>
      <c r="AH8" s="21">
        <f t="shared" si="2"/>
        <v>0</v>
      </c>
      <c r="AI8" s="21">
        <f t="shared" si="2"/>
        <v>0</v>
      </c>
      <c r="AJ8" s="21">
        <f t="shared" si="2"/>
        <v>0</v>
      </c>
      <c r="AK8" s="21">
        <f t="shared" si="2"/>
        <v>0</v>
      </c>
      <c r="AL8" s="21">
        <f t="shared" si="2"/>
        <v>0</v>
      </c>
      <c r="AM8" s="21">
        <f t="shared" si="2"/>
        <v>0</v>
      </c>
      <c r="AN8" s="57">
        <f t="shared" si="2"/>
        <v>0</v>
      </c>
      <c r="AO8" s="118">
        <f t="shared" si="2"/>
        <v>3000</v>
      </c>
      <c r="AP8" s="96">
        <f t="shared" si="2"/>
        <v>143119</v>
      </c>
      <c r="AQ8" s="19">
        <f t="shared" si="2"/>
        <v>0</v>
      </c>
      <c r="AR8" s="19">
        <f t="shared" si="2"/>
        <v>23310</v>
      </c>
      <c r="AS8" s="32">
        <f t="shared" si="2"/>
        <v>119809</v>
      </c>
      <c r="AT8" s="132">
        <f t="shared" si="2"/>
        <v>0</v>
      </c>
      <c r="AU8" s="133">
        <f t="shared" si="2"/>
        <v>0</v>
      </c>
      <c r="AV8" s="170">
        <f t="shared" si="2"/>
        <v>1821094.36</v>
      </c>
    </row>
  </sheetData>
  <sheetProtection/>
  <printOptions/>
  <pageMargins left="0.1968503937007874" right="0.1968503937007874" top="0" bottom="0" header="0.5118110236220472" footer="0.5118110236220472"/>
  <pageSetup fitToWidth="2" horizontalDpi="600" verticalDpi="600" orientation="landscape" paperSize="9" scale="55" r:id="rId1"/>
  <colBreaks count="1" manualBreakCount="1">
    <brk id="2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BD24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4" sqref="A4"/>
    </sheetView>
  </sheetViews>
  <sheetFormatPr defaultColWidth="9.00390625" defaultRowHeight="12.75"/>
  <cols>
    <col min="1" max="1" width="29.875" style="0" customWidth="1"/>
    <col min="2" max="2" width="15.00390625" style="0" customWidth="1"/>
    <col min="3" max="4" width="13.75390625" style="0" customWidth="1"/>
    <col min="5" max="5" width="12.125" style="0" customWidth="1"/>
    <col min="6" max="6" width="12.75390625" style="0" customWidth="1"/>
    <col min="7" max="7" width="13.625" style="0" customWidth="1"/>
    <col min="8" max="8" width="13.875" style="0" customWidth="1"/>
    <col min="9" max="9" width="12.00390625" style="0" customWidth="1"/>
    <col min="10" max="10" width="11.875" style="0" customWidth="1"/>
    <col min="11" max="11" width="14.375" style="0" customWidth="1"/>
    <col min="12" max="12" width="14.375" style="0" hidden="1" customWidth="1"/>
    <col min="13" max="13" width="13.625" style="3" customWidth="1"/>
    <col min="14" max="15" width="11.75390625" style="3" customWidth="1"/>
    <col min="16" max="16" width="11.875" style="3" customWidth="1"/>
    <col min="17" max="17" width="11.25390625" style="3" customWidth="1"/>
    <col min="18" max="21" width="13.625" style="0" customWidth="1"/>
    <col min="22" max="22" width="13.375" style="0" customWidth="1"/>
    <col min="23" max="23" width="14.00390625" style="0" customWidth="1"/>
    <col min="24" max="25" width="12.00390625" style="0" customWidth="1"/>
    <col min="26" max="26" width="10.875" style="0" customWidth="1"/>
    <col min="27" max="27" width="10.375" style="0" customWidth="1"/>
    <col min="28" max="28" width="10.125" style="0" customWidth="1"/>
    <col min="29" max="29" width="10.625" style="0" customWidth="1"/>
    <col min="30" max="30" width="9.75390625" style="0" customWidth="1"/>
    <col min="31" max="31" width="11.00390625" style="0" customWidth="1"/>
    <col min="32" max="32" width="11.375" style="0" customWidth="1"/>
    <col min="33" max="33" width="8.00390625" style="0" customWidth="1"/>
    <col min="34" max="34" width="11.75390625" style="0" customWidth="1"/>
    <col min="35" max="35" width="9.75390625" style="0" customWidth="1"/>
    <col min="36" max="36" width="10.875" style="0" customWidth="1"/>
    <col min="37" max="37" width="7.625" style="0" customWidth="1"/>
    <col min="38" max="38" width="11.125" style="0" customWidth="1"/>
    <col min="39" max="39" width="9.25390625" style="0" customWidth="1"/>
    <col min="40" max="40" width="9.00390625" style="0" customWidth="1"/>
    <col min="41" max="41" width="7.75390625" style="0" customWidth="1"/>
    <col min="42" max="42" width="7.875" style="0" customWidth="1"/>
    <col min="43" max="43" width="9.75390625" style="0" customWidth="1"/>
    <col min="45" max="45" width="9.25390625" style="0" customWidth="1"/>
    <col min="46" max="46" width="10.375" style="0" customWidth="1"/>
    <col min="47" max="47" width="11.125" style="0" customWidth="1"/>
    <col min="48" max="48" width="13.25390625" style="0" customWidth="1"/>
    <col min="49" max="49" width="10.625" style="0" customWidth="1"/>
    <col min="50" max="50" width="13.25390625" style="0" customWidth="1"/>
    <col min="51" max="51" width="13.375" style="0" customWidth="1"/>
    <col min="52" max="52" width="9.75390625" style="0" customWidth="1"/>
    <col min="53" max="53" width="9.375" style="0" customWidth="1"/>
    <col min="54" max="54" width="17.00390625" style="1" customWidth="1"/>
  </cols>
  <sheetData>
    <row r="4" spans="1:14" ht="27" thickBot="1">
      <c r="A4" s="2"/>
      <c r="N4" s="27" t="s">
        <v>29</v>
      </c>
    </row>
    <row r="5" spans="1:54" s="5" customFormat="1" ht="103.5" customHeight="1" thickBot="1">
      <c r="A5" s="38"/>
      <c r="B5" s="93">
        <v>2110</v>
      </c>
      <c r="C5" s="89" t="s">
        <v>44</v>
      </c>
      <c r="D5" s="85" t="s">
        <v>48</v>
      </c>
      <c r="E5" s="83" t="s">
        <v>46</v>
      </c>
      <c r="F5" s="83" t="s">
        <v>47</v>
      </c>
      <c r="G5" s="86" t="s">
        <v>45</v>
      </c>
      <c r="H5" s="85" t="s">
        <v>48</v>
      </c>
      <c r="I5" s="83" t="s">
        <v>46</v>
      </c>
      <c r="J5" s="83" t="s">
        <v>47</v>
      </c>
      <c r="K5" s="104">
        <v>2120</v>
      </c>
      <c r="L5" s="104"/>
      <c r="M5" s="93">
        <v>2210</v>
      </c>
      <c r="N5" s="15" t="s">
        <v>23</v>
      </c>
      <c r="O5" s="15" t="s">
        <v>24</v>
      </c>
      <c r="P5" s="15" t="s">
        <v>25</v>
      </c>
      <c r="Q5" s="47" t="s">
        <v>26</v>
      </c>
      <c r="R5" s="119">
        <v>2230</v>
      </c>
      <c r="S5" s="47" t="s">
        <v>41</v>
      </c>
      <c r="T5" s="47" t="s">
        <v>43</v>
      </c>
      <c r="U5" s="47" t="s">
        <v>40</v>
      </c>
      <c r="V5" s="47" t="s">
        <v>42</v>
      </c>
      <c r="W5" s="93">
        <v>2240</v>
      </c>
      <c r="X5" s="16" t="s">
        <v>38</v>
      </c>
      <c r="Y5" s="16" t="s">
        <v>39</v>
      </c>
      <c r="Z5" s="17" t="s">
        <v>16</v>
      </c>
      <c r="AA5" s="16" t="s">
        <v>35</v>
      </c>
      <c r="AB5" s="16" t="s">
        <v>2</v>
      </c>
      <c r="AC5" s="16" t="s">
        <v>18</v>
      </c>
      <c r="AD5" s="16" t="s">
        <v>36</v>
      </c>
      <c r="AE5" s="16" t="s">
        <v>8</v>
      </c>
      <c r="AF5" s="16" t="s">
        <v>37</v>
      </c>
      <c r="AG5" s="16" t="s">
        <v>20</v>
      </c>
      <c r="AH5" s="17" t="s">
        <v>19</v>
      </c>
      <c r="AI5" s="16" t="s">
        <v>6</v>
      </c>
      <c r="AJ5" s="16" t="s">
        <v>7</v>
      </c>
      <c r="AK5" s="16" t="s">
        <v>3</v>
      </c>
      <c r="AL5" s="16" t="s">
        <v>4</v>
      </c>
      <c r="AM5" s="16" t="s">
        <v>5</v>
      </c>
      <c r="AN5" s="16" t="s">
        <v>17</v>
      </c>
      <c r="AO5" s="16" t="s">
        <v>1</v>
      </c>
      <c r="AP5" s="16" t="s">
        <v>21</v>
      </c>
      <c r="AQ5" s="16" t="s">
        <v>9</v>
      </c>
      <c r="AR5" s="16" t="s">
        <v>10</v>
      </c>
      <c r="AS5" s="16" t="s">
        <v>11</v>
      </c>
      <c r="AT5" s="54" t="s">
        <v>22</v>
      </c>
      <c r="AU5" s="104">
        <v>2250</v>
      </c>
      <c r="AV5" s="93">
        <v>2270</v>
      </c>
      <c r="AW5" s="59">
        <v>2272</v>
      </c>
      <c r="AX5" s="59">
        <v>2273</v>
      </c>
      <c r="AY5" s="60">
        <v>2274</v>
      </c>
      <c r="AZ5" s="127">
        <v>2282</v>
      </c>
      <c r="BA5" s="128">
        <v>2800</v>
      </c>
      <c r="BB5" s="139" t="s">
        <v>0</v>
      </c>
    </row>
    <row r="6" spans="1:54" s="4" customFormat="1" ht="19.5" customHeight="1">
      <c r="A6" s="35" t="s">
        <v>27</v>
      </c>
      <c r="B6" s="94">
        <f>SUM(C6:G6)</f>
        <v>2827800</v>
      </c>
      <c r="C6" s="90">
        <f>D6+E6+F6</f>
        <v>414960</v>
      </c>
      <c r="D6" s="84">
        <f>34580*12</f>
        <v>414960</v>
      </c>
      <c r="E6" s="84"/>
      <c r="F6" s="84"/>
      <c r="G6" s="87">
        <f>H6+I6+J6</f>
        <v>1997880</v>
      </c>
      <c r="H6" s="84">
        <f>156640*12</f>
        <v>1879680</v>
      </c>
      <c r="I6" s="84">
        <v>59100</v>
      </c>
      <c r="J6" s="84">
        <v>59100</v>
      </c>
      <c r="K6" s="105">
        <f>B6*L6</f>
        <v>622116</v>
      </c>
      <c r="L6" s="106">
        <v>0.22</v>
      </c>
      <c r="M6" s="107">
        <f>N6+O6+P6+Q6</f>
        <v>3300</v>
      </c>
      <c r="N6" s="6">
        <f>1400/8*12</f>
        <v>2100</v>
      </c>
      <c r="O6" s="6">
        <v>0</v>
      </c>
      <c r="P6" s="6">
        <v>600</v>
      </c>
      <c r="Q6" s="48">
        <v>600</v>
      </c>
      <c r="R6" s="106">
        <f>SUM(S6:V6)</f>
        <v>110633.47</v>
      </c>
      <c r="S6" s="66">
        <v>53050</v>
      </c>
      <c r="T6" s="66">
        <v>40213.47</v>
      </c>
      <c r="U6" s="66">
        <f>32*65</f>
        <v>2080</v>
      </c>
      <c r="V6" s="51">
        <v>15290</v>
      </c>
      <c r="W6" s="98">
        <f>X6+Z6+AA6+AN6+AO6+AB6+AK6+AL6+AM6+AC6+AH6+AI6+AJ6+AD6+AE6+AG6+AF6+AP6+AQ6+AR6+AS6+AT6</f>
        <v>15761</v>
      </c>
      <c r="X6" s="7"/>
      <c r="Y6" s="7"/>
      <c r="Z6" s="7">
        <v>0</v>
      </c>
      <c r="AA6" s="7">
        <v>800</v>
      </c>
      <c r="AB6" s="7">
        <v>800</v>
      </c>
      <c r="AC6" s="7">
        <v>9600</v>
      </c>
      <c r="AD6" s="7">
        <v>300</v>
      </c>
      <c r="AE6" s="7">
        <v>3700</v>
      </c>
      <c r="AF6" s="7">
        <v>300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55">
        <v>261</v>
      </c>
      <c r="AU6" s="105">
        <v>3000</v>
      </c>
      <c r="AV6" s="98">
        <f aca="true" t="shared" si="0" ref="AV6:AV18">AW6+AX6+AY6</f>
        <v>433010</v>
      </c>
      <c r="AW6" s="8"/>
      <c r="AX6" s="8">
        <v>51800</v>
      </c>
      <c r="AY6" s="72">
        <v>381210</v>
      </c>
      <c r="AZ6" s="124">
        <v>500</v>
      </c>
      <c r="BA6" s="129">
        <v>230.77</v>
      </c>
      <c r="BB6" s="168">
        <f>B6+K6+M6+R6+AU6+AV6+AZ6+BA6+W6</f>
        <v>4016351.24</v>
      </c>
    </row>
    <row r="7" spans="1:54" s="4" customFormat="1" ht="19.5" customHeight="1">
      <c r="A7" s="35" t="s">
        <v>34</v>
      </c>
      <c r="B7" s="94">
        <f>SUM(C7:G7)</f>
        <v>4206800</v>
      </c>
      <c r="C7" s="90">
        <f>D7+E7+F7</f>
        <v>616920</v>
      </c>
      <c r="D7" s="62">
        <f>51410*12</f>
        <v>616920</v>
      </c>
      <c r="E7" s="62"/>
      <c r="F7" s="62"/>
      <c r="G7" s="87">
        <f>H7+I7+J7</f>
        <v>2972960</v>
      </c>
      <c r="H7" s="62">
        <f>230730*12</f>
        <v>2768760</v>
      </c>
      <c r="I7" s="62">
        <v>102100</v>
      </c>
      <c r="J7" s="62">
        <v>102100</v>
      </c>
      <c r="K7" s="105">
        <f>B7*L7</f>
        <v>925496</v>
      </c>
      <c r="L7" s="106">
        <v>0.22</v>
      </c>
      <c r="M7" s="107">
        <f>N7+O7+P7+Q7</f>
        <v>13633</v>
      </c>
      <c r="N7" s="6">
        <v>0</v>
      </c>
      <c r="O7" s="6">
        <v>12250</v>
      </c>
      <c r="P7" s="6">
        <v>783</v>
      </c>
      <c r="Q7" s="48">
        <v>600</v>
      </c>
      <c r="R7" s="106">
        <f>SUM(S7:V7)</f>
        <v>347165</v>
      </c>
      <c r="S7" s="65">
        <v>193830</v>
      </c>
      <c r="T7" s="65">
        <v>74400</v>
      </c>
      <c r="U7" s="65">
        <f>129*65</f>
        <v>8385</v>
      </c>
      <c r="V7" s="51">
        <v>70550</v>
      </c>
      <c r="W7" s="98">
        <f>X7+Z7+AA7+AN7+AO7+AB7+AK7+AL7+AM7+AC7+AH7+AI7+AJ7+AD7+AE7+AG7+AF7+AP7+AQ7+AR7+AS7+AT7</f>
        <v>31816.708</v>
      </c>
      <c r="X7" s="7">
        <v>13800</v>
      </c>
      <c r="Y7" s="7">
        <v>3000</v>
      </c>
      <c r="Z7" s="7">
        <f>1353.09/10*12</f>
        <v>1623.708</v>
      </c>
      <c r="AA7" s="10">
        <v>800</v>
      </c>
      <c r="AB7" s="7">
        <v>1200</v>
      </c>
      <c r="AC7" s="7">
        <v>9600</v>
      </c>
      <c r="AD7" s="7">
        <v>300</v>
      </c>
      <c r="AE7" s="7">
        <v>3700</v>
      </c>
      <c r="AF7" s="7">
        <v>300</v>
      </c>
      <c r="AG7" s="7"/>
      <c r="AH7" s="7"/>
      <c r="AI7" s="7"/>
      <c r="AJ7" s="7"/>
      <c r="AK7" s="7"/>
      <c r="AL7" s="7"/>
      <c r="AM7" s="7"/>
      <c r="AN7" s="10"/>
      <c r="AO7" s="7"/>
      <c r="AP7" s="7"/>
      <c r="AQ7" s="7"/>
      <c r="AR7" s="7"/>
      <c r="AS7" s="7"/>
      <c r="AT7" s="55">
        <v>493</v>
      </c>
      <c r="AU7" s="105">
        <v>3000</v>
      </c>
      <c r="AV7" s="98">
        <f t="shared" si="0"/>
        <v>999290</v>
      </c>
      <c r="AW7" s="8">
        <v>10000</v>
      </c>
      <c r="AX7" s="8">
        <v>237762</v>
      </c>
      <c r="AY7" s="72">
        <v>751528</v>
      </c>
      <c r="AZ7" s="124">
        <v>500</v>
      </c>
      <c r="BA7" s="129">
        <v>230.77</v>
      </c>
      <c r="BB7" s="168">
        <f>B7+K7+M7+R7+AU7+AV7+AZ7+BA7+W7</f>
        <v>6527931.477999999</v>
      </c>
    </row>
    <row r="8" spans="1:54" s="11" customFormat="1" ht="19.5" customHeight="1" thickBot="1">
      <c r="A8" s="18"/>
      <c r="B8" s="95"/>
      <c r="C8" s="91"/>
      <c r="D8" s="81"/>
      <c r="E8" s="81"/>
      <c r="F8" s="81"/>
      <c r="G8" s="88"/>
      <c r="H8" s="81"/>
      <c r="I8" s="81"/>
      <c r="J8" s="81"/>
      <c r="K8" s="108"/>
      <c r="L8" s="106">
        <v>0.22</v>
      </c>
      <c r="M8" s="109">
        <f>N8+O8+P8+Q8</f>
        <v>0</v>
      </c>
      <c r="N8" s="13"/>
      <c r="O8" s="13"/>
      <c r="P8" s="13"/>
      <c r="Q8" s="49"/>
      <c r="R8" s="106">
        <f>SUM(S8:V8)</f>
        <v>0</v>
      </c>
      <c r="S8" s="12"/>
      <c r="T8" s="12"/>
      <c r="U8" s="12"/>
      <c r="V8" s="64">
        <f>W8-AN8-AA8</f>
        <v>0</v>
      </c>
      <c r="W8" s="123">
        <f>X8+Z8+AA8+AN8+AO8+AB8+AK8+AL8+AM8+AC8+AH8+AI8+AJ8+AD8+AE8+AG8+AF8+AP8+AQ8+AR8+AS8+AT8</f>
        <v>0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56"/>
      <c r="AU8" s="108"/>
      <c r="AV8" s="123">
        <f t="shared" si="0"/>
        <v>0</v>
      </c>
      <c r="AW8" s="12"/>
      <c r="AX8" s="12"/>
      <c r="AY8" s="30"/>
      <c r="AZ8" s="130"/>
      <c r="BA8" s="131"/>
      <c r="BB8" s="169">
        <f>B8+K8+M8+R8+AU8+AV8+AZ8+BA8+W8</f>
        <v>0</v>
      </c>
    </row>
    <row r="9" spans="1:54" s="22" customFormat="1" ht="33.75" customHeight="1" thickBot="1">
      <c r="A9" s="39" t="s">
        <v>28</v>
      </c>
      <c r="B9" s="96">
        <f>SUM(B6:B8)</f>
        <v>7034600</v>
      </c>
      <c r="C9" s="31">
        <f aca="true" t="shared" si="1" ref="C9:K9">SUM(C6:C8)</f>
        <v>1031880</v>
      </c>
      <c r="D9" s="158">
        <f t="shared" si="1"/>
        <v>1031880</v>
      </c>
      <c r="E9" s="158">
        <f t="shared" si="1"/>
        <v>0</v>
      </c>
      <c r="F9" s="158">
        <f t="shared" si="1"/>
        <v>0</v>
      </c>
      <c r="G9" s="31">
        <f t="shared" si="1"/>
        <v>4970840</v>
      </c>
      <c r="H9" s="158">
        <f t="shared" si="1"/>
        <v>4648440</v>
      </c>
      <c r="I9" s="158">
        <f t="shared" si="1"/>
        <v>161200</v>
      </c>
      <c r="J9" s="158">
        <f t="shared" si="1"/>
        <v>161200</v>
      </c>
      <c r="K9" s="110">
        <f t="shared" si="1"/>
        <v>1547612</v>
      </c>
      <c r="L9" s="106">
        <v>0.22</v>
      </c>
      <c r="M9" s="111">
        <f aca="true" t="shared" si="2" ref="M9:V9">SUM(M6:M8)</f>
        <v>16933</v>
      </c>
      <c r="N9" s="20">
        <f t="shared" si="2"/>
        <v>2100</v>
      </c>
      <c r="O9" s="20">
        <f t="shared" si="2"/>
        <v>12250</v>
      </c>
      <c r="P9" s="20">
        <f t="shared" si="2"/>
        <v>1383</v>
      </c>
      <c r="Q9" s="50">
        <f t="shared" si="2"/>
        <v>1200</v>
      </c>
      <c r="R9" s="120">
        <f t="shared" si="2"/>
        <v>457798.47</v>
      </c>
      <c r="S9" s="70">
        <f>SUM(S6:S8)</f>
        <v>246880</v>
      </c>
      <c r="T9" s="70">
        <f>SUM(T6:T8)</f>
        <v>114613.47</v>
      </c>
      <c r="U9" s="70">
        <f>SUM(U6:U8)</f>
        <v>10465</v>
      </c>
      <c r="V9" s="71">
        <f t="shared" si="2"/>
        <v>85840</v>
      </c>
      <c r="W9" s="96">
        <f aca="true" t="shared" si="3" ref="W9:BB9">SUM(W6:W8)</f>
        <v>47577.708</v>
      </c>
      <c r="X9" s="21">
        <f t="shared" si="3"/>
        <v>13800</v>
      </c>
      <c r="Y9" s="21"/>
      <c r="Z9" s="21">
        <f t="shared" si="3"/>
        <v>1623.708</v>
      </c>
      <c r="AA9" s="21">
        <f t="shared" si="3"/>
        <v>1600</v>
      </c>
      <c r="AB9" s="21">
        <f t="shared" si="3"/>
        <v>2000</v>
      </c>
      <c r="AC9" s="21">
        <f t="shared" si="3"/>
        <v>19200</v>
      </c>
      <c r="AD9" s="21">
        <f t="shared" si="3"/>
        <v>600</v>
      </c>
      <c r="AE9" s="21">
        <f t="shared" si="3"/>
        <v>7400</v>
      </c>
      <c r="AF9" s="21">
        <f t="shared" si="3"/>
        <v>600</v>
      </c>
      <c r="AG9" s="21">
        <f aca="true" t="shared" si="4" ref="AG9:AO9">SUM(AG6:AG8)</f>
        <v>0</v>
      </c>
      <c r="AH9" s="21">
        <f t="shared" si="4"/>
        <v>0</v>
      </c>
      <c r="AI9" s="21">
        <f t="shared" si="4"/>
        <v>0</v>
      </c>
      <c r="AJ9" s="21">
        <f t="shared" si="4"/>
        <v>0</v>
      </c>
      <c r="AK9" s="21">
        <f t="shared" si="4"/>
        <v>0</v>
      </c>
      <c r="AL9" s="21">
        <f t="shared" si="4"/>
        <v>0</v>
      </c>
      <c r="AM9" s="21">
        <f t="shared" si="4"/>
        <v>0</v>
      </c>
      <c r="AN9" s="21">
        <f t="shared" si="4"/>
        <v>0</v>
      </c>
      <c r="AO9" s="21">
        <f t="shared" si="4"/>
        <v>0</v>
      </c>
      <c r="AP9" s="21">
        <f t="shared" si="3"/>
        <v>0</v>
      </c>
      <c r="AQ9" s="21">
        <f t="shared" si="3"/>
        <v>0</v>
      </c>
      <c r="AR9" s="21">
        <f t="shared" si="3"/>
        <v>0</v>
      </c>
      <c r="AS9" s="21">
        <f t="shared" si="3"/>
        <v>0</v>
      </c>
      <c r="AT9" s="57">
        <f t="shared" si="3"/>
        <v>754</v>
      </c>
      <c r="AU9" s="118">
        <f t="shared" si="3"/>
        <v>6000</v>
      </c>
      <c r="AV9" s="96">
        <f t="shared" si="3"/>
        <v>1432300</v>
      </c>
      <c r="AW9" s="19">
        <f t="shared" si="3"/>
        <v>10000</v>
      </c>
      <c r="AX9" s="19">
        <f t="shared" si="3"/>
        <v>289562</v>
      </c>
      <c r="AY9" s="32">
        <f t="shared" si="3"/>
        <v>1132738</v>
      </c>
      <c r="AZ9" s="132">
        <f t="shared" si="3"/>
        <v>1000</v>
      </c>
      <c r="BA9" s="133">
        <f t="shared" si="3"/>
        <v>461.54</v>
      </c>
      <c r="BB9" s="170">
        <f t="shared" si="3"/>
        <v>10544282.717999998</v>
      </c>
    </row>
    <row r="10" spans="1:54" s="11" customFormat="1" ht="19.5" customHeight="1">
      <c r="A10" s="41" t="s">
        <v>32</v>
      </c>
      <c r="B10" s="97">
        <f>B11+B12</f>
        <v>3187180</v>
      </c>
      <c r="C10" s="82">
        <f aca="true" t="shared" si="5" ref="C10:J10">C11+C12</f>
        <v>783920</v>
      </c>
      <c r="D10" s="82">
        <f t="shared" si="5"/>
        <v>770520</v>
      </c>
      <c r="E10" s="82">
        <f t="shared" si="5"/>
        <v>6700</v>
      </c>
      <c r="F10" s="82">
        <f t="shared" si="5"/>
        <v>6700</v>
      </c>
      <c r="G10" s="82">
        <f t="shared" si="5"/>
        <v>1619340</v>
      </c>
      <c r="H10" s="82">
        <f t="shared" si="5"/>
        <v>1491120</v>
      </c>
      <c r="I10" s="82">
        <f t="shared" si="5"/>
        <v>64110</v>
      </c>
      <c r="J10" s="82">
        <f t="shared" si="5"/>
        <v>64110</v>
      </c>
      <c r="K10" s="105">
        <f aca="true" t="shared" si="6" ref="K10:BB10">K11+K12</f>
        <v>701179.6000000001</v>
      </c>
      <c r="L10" s="106">
        <v>0.22</v>
      </c>
      <c r="M10" s="107">
        <f>M11+M12</f>
        <v>5280.5</v>
      </c>
      <c r="N10" s="9">
        <f t="shared" si="6"/>
        <v>2830.5</v>
      </c>
      <c r="O10" s="9">
        <f t="shared" si="6"/>
        <v>1750</v>
      </c>
      <c r="P10" s="9">
        <f t="shared" si="6"/>
        <v>500</v>
      </c>
      <c r="Q10" s="73">
        <f t="shared" si="6"/>
        <v>200</v>
      </c>
      <c r="R10" s="121">
        <f t="shared" si="6"/>
        <v>187735</v>
      </c>
      <c r="S10" s="65">
        <f t="shared" si="6"/>
        <v>88660</v>
      </c>
      <c r="T10" s="65">
        <f t="shared" si="6"/>
        <v>25320</v>
      </c>
      <c r="U10" s="65">
        <f t="shared" si="6"/>
        <v>3705</v>
      </c>
      <c r="V10" s="65">
        <f t="shared" si="6"/>
        <v>70050</v>
      </c>
      <c r="W10" s="124">
        <f t="shared" si="6"/>
        <v>33696</v>
      </c>
      <c r="X10" s="10">
        <f>X11+X12</f>
        <v>16700</v>
      </c>
      <c r="Y10" s="10"/>
      <c r="Z10" s="10">
        <f>Z11+Z12</f>
        <v>580</v>
      </c>
      <c r="AA10" s="10">
        <f>AA11+AA12</f>
        <v>1200</v>
      </c>
      <c r="AB10" s="10">
        <f t="shared" si="6"/>
        <v>1200</v>
      </c>
      <c r="AC10" s="10">
        <f t="shared" si="6"/>
        <v>9600</v>
      </c>
      <c r="AD10" s="10">
        <f t="shared" si="6"/>
        <v>300</v>
      </c>
      <c r="AE10" s="10">
        <f t="shared" si="6"/>
        <v>3700</v>
      </c>
      <c r="AF10" s="10">
        <f t="shared" si="6"/>
        <v>300</v>
      </c>
      <c r="AG10" s="10">
        <f aca="true" t="shared" si="7" ref="AG10:AO10">AG11+AG12</f>
        <v>0</v>
      </c>
      <c r="AH10" s="10">
        <f t="shared" si="7"/>
        <v>0</v>
      </c>
      <c r="AI10" s="10">
        <f t="shared" si="7"/>
        <v>0</v>
      </c>
      <c r="AJ10" s="10">
        <f t="shared" si="7"/>
        <v>0</v>
      </c>
      <c r="AK10" s="10">
        <f t="shared" si="7"/>
        <v>0</v>
      </c>
      <c r="AL10" s="10">
        <f t="shared" si="7"/>
        <v>0</v>
      </c>
      <c r="AM10" s="10">
        <f t="shared" si="7"/>
        <v>0</v>
      </c>
      <c r="AN10" s="10">
        <f t="shared" si="7"/>
        <v>0</v>
      </c>
      <c r="AO10" s="10">
        <f t="shared" si="7"/>
        <v>0</v>
      </c>
      <c r="AP10" s="10">
        <f t="shared" si="6"/>
        <v>0</v>
      </c>
      <c r="AQ10" s="10">
        <f t="shared" si="6"/>
        <v>0</v>
      </c>
      <c r="AR10" s="10">
        <f t="shared" si="6"/>
        <v>0</v>
      </c>
      <c r="AS10" s="10">
        <f t="shared" si="6"/>
        <v>0</v>
      </c>
      <c r="AT10" s="74">
        <f t="shared" si="6"/>
        <v>116</v>
      </c>
      <c r="AU10" s="105">
        <f t="shared" si="6"/>
        <v>3000</v>
      </c>
      <c r="AV10" s="98">
        <f t="shared" si="6"/>
        <v>536747</v>
      </c>
      <c r="AW10" s="65">
        <f t="shared" si="6"/>
        <v>0</v>
      </c>
      <c r="AX10" s="65">
        <f t="shared" si="6"/>
        <v>46620</v>
      </c>
      <c r="AY10" s="75">
        <f t="shared" si="6"/>
        <v>490127</v>
      </c>
      <c r="AZ10" s="124">
        <f t="shared" si="6"/>
        <v>0</v>
      </c>
      <c r="BA10" s="129">
        <f t="shared" si="6"/>
        <v>230.77</v>
      </c>
      <c r="BB10" s="168">
        <f t="shared" si="6"/>
        <v>4655048.87</v>
      </c>
    </row>
    <row r="11" spans="1:54" s="63" customFormat="1" ht="19.5" customHeight="1">
      <c r="A11" s="40" t="s">
        <v>12</v>
      </c>
      <c r="B11" s="94">
        <f>SUM(C11:G11)</f>
        <v>2476140</v>
      </c>
      <c r="C11" s="90">
        <f>D11+E11+F11</f>
        <v>428400</v>
      </c>
      <c r="D11" s="62">
        <f>35700*12</f>
        <v>428400</v>
      </c>
      <c r="E11" s="62"/>
      <c r="F11" s="62"/>
      <c r="G11" s="87">
        <f>H11+I11+J11</f>
        <v>1619340</v>
      </c>
      <c r="H11" s="62">
        <f>124260*12</f>
        <v>1491120</v>
      </c>
      <c r="I11" s="62">
        <v>64110</v>
      </c>
      <c r="J11" s="62">
        <v>64110</v>
      </c>
      <c r="K11" s="112">
        <f>B11*L11</f>
        <v>544750.8</v>
      </c>
      <c r="L11" s="106">
        <v>0.22</v>
      </c>
      <c r="M11" s="107">
        <f aca="true" t="shared" si="8" ref="M11:M18">N11+O11+P11+Q11</f>
        <v>3964</v>
      </c>
      <c r="N11" s="6">
        <f>1076/8*12</f>
        <v>1614</v>
      </c>
      <c r="O11" s="6">
        <v>1750</v>
      </c>
      <c r="P11" s="6">
        <v>500</v>
      </c>
      <c r="Q11" s="76">
        <v>100</v>
      </c>
      <c r="R11" s="122">
        <f>SUM(S11:V11)</f>
        <v>79120</v>
      </c>
      <c r="S11" s="67">
        <v>38700</v>
      </c>
      <c r="T11" s="67">
        <v>20110</v>
      </c>
      <c r="U11" s="67">
        <f>32*65</f>
        <v>2080</v>
      </c>
      <c r="V11" s="67">
        <v>18230</v>
      </c>
      <c r="W11" s="125">
        <f>X11+Z11+AA11+AN11+AO11+AB11+AK11+AL11+AM11+AC11+AH11+AI11+AJ11+AD11+AE11+AG11+AF11+AP11+AQ11+AR11+AS11+AT11</f>
        <v>29996</v>
      </c>
      <c r="X11" s="7">
        <v>13400</v>
      </c>
      <c r="Y11" s="7"/>
      <c r="Z11" s="7">
        <v>580</v>
      </c>
      <c r="AA11" s="7">
        <v>800</v>
      </c>
      <c r="AB11" s="7">
        <v>1200</v>
      </c>
      <c r="AC11" s="7">
        <v>9600</v>
      </c>
      <c r="AD11" s="7">
        <v>300</v>
      </c>
      <c r="AE11" s="7">
        <v>3700</v>
      </c>
      <c r="AF11" s="7">
        <v>300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55">
        <v>116</v>
      </c>
      <c r="AU11" s="112">
        <v>3000</v>
      </c>
      <c r="AV11" s="126">
        <f t="shared" si="0"/>
        <v>536747</v>
      </c>
      <c r="AW11" s="67"/>
      <c r="AX11" s="67">
        <v>46620</v>
      </c>
      <c r="AY11" s="77">
        <v>490127</v>
      </c>
      <c r="AZ11" s="125"/>
      <c r="BA11" s="134">
        <v>230.77</v>
      </c>
      <c r="BB11" s="171">
        <f>B11+K11+M11+R11+AU11+AV11+AZ11+BA11+W11</f>
        <v>3673948.57</v>
      </c>
    </row>
    <row r="12" spans="1:54" s="63" customFormat="1" ht="19.5" customHeight="1">
      <c r="A12" s="40" t="s">
        <v>13</v>
      </c>
      <c r="B12" s="94">
        <f>SUM(C12:G12)</f>
        <v>711040</v>
      </c>
      <c r="C12" s="90">
        <f>D12+E12+F12</f>
        <v>355520</v>
      </c>
      <c r="D12" s="62">
        <f>28510*12</f>
        <v>342120</v>
      </c>
      <c r="E12" s="62">
        <v>6700</v>
      </c>
      <c r="F12" s="62">
        <v>6700</v>
      </c>
      <c r="G12" s="87">
        <f>H12+I12+J12</f>
        <v>0</v>
      </c>
      <c r="H12" s="62"/>
      <c r="I12" s="62"/>
      <c r="J12" s="62"/>
      <c r="K12" s="112">
        <f>B12*L12</f>
        <v>156428.8</v>
      </c>
      <c r="L12" s="106">
        <v>0.22</v>
      </c>
      <c r="M12" s="107">
        <f t="shared" si="8"/>
        <v>1316.5</v>
      </c>
      <c r="N12" s="6">
        <f>811/8*12</f>
        <v>1216.5</v>
      </c>
      <c r="O12" s="6">
        <v>0</v>
      </c>
      <c r="P12" s="6">
        <v>0</v>
      </c>
      <c r="Q12" s="76">
        <v>100</v>
      </c>
      <c r="R12" s="122">
        <f>SUM(S12:V12)</f>
        <v>108615</v>
      </c>
      <c r="S12" s="67">
        <v>49960</v>
      </c>
      <c r="T12" s="67">
        <v>5210</v>
      </c>
      <c r="U12" s="67">
        <f>25*65</f>
        <v>1625</v>
      </c>
      <c r="V12" s="67">
        <v>51820</v>
      </c>
      <c r="W12" s="125">
        <f>X12+Z12+AA12+AN12+AO12+AB12+AK12+AL12+AM12+AC12+AH12+AI12+AJ12+AD12+AE12+AG12+AF12+AP12+AQ12+AR12+AS12+AT12</f>
        <v>3700</v>
      </c>
      <c r="X12" s="7">
        <v>3300</v>
      </c>
      <c r="Y12" s="7"/>
      <c r="Z12" s="7"/>
      <c r="AA12" s="7">
        <v>400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55"/>
      <c r="AU12" s="112"/>
      <c r="AV12" s="126">
        <f t="shared" si="0"/>
        <v>0</v>
      </c>
      <c r="AW12" s="67"/>
      <c r="AX12" s="67"/>
      <c r="AY12" s="77"/>
      <c r="AZ12" s="125"/>
      <c r="BA12" s="134"/>
      <c r="BB12" s="171">
        <f>B12+K12+M12+R12+AU12+AV12+AZ12+BA12+W12</f>
        <v>981100.3</v>
      </c>
    </row>
    <row r="13" spans="1:54" s="11" customFormat="1" ht="19.5" customHeight="1">
      <c r="A13" s="41" t="s">
        <v>33</v>
      </c>
      <c r="B13" s="98">
        <f>B14+B15</f>
        <v>2265990</v>
      </c>
      <c r="C13" s="29">
        <f aca="true" t="shared" si="9" ref="C13:J13">C14+C15</f>
        <v>636960</v>
      </c>
      <c r="D13" s="29">
        <f t="shared" si="9"/>
        <v>636960</v>
      </c>
      <c r="E13" s="29">
        <f t="shared" si="9"/>
        <v>0</v>
      </c>
      <c r="F13" s="29">
        <f t="shared" si="9"/>
        <v>0</v>
      </c>
      <c r="G13" s="29">
        <f t="shared" si="9"/>
        <v>992070</v>
      </c>
      <c r="H13" s="29">
        <f t="shared" si="9"/>
        <v>901980</v>
      </c>
      <c r="I13" s="29">
        <f t="shared" si="9"/>
        <v>45045</v>
      </c>
      <c r="J13" s="29">
        <f t="shared" si="9"/>
        <v>45045</v>
      </c>
      <c r="K13" s="105">
        <f aca="true" t="shared" si="10" ref="K13:BB13">K14+K15</f>
        <v>498517.80000000005</v>
      </c>
      <c r="L13" s="106">
        <v>0.22</v>
      </c>
      <c r="M13" s="107">
        <f t="shared" si="10"/>
        <v>3879.5</v>
      </c>
      <c r="N13" s="9">
        <f t="shared" si="10"/>
        <v>1729.5</v>
      </c>
      <c r="O13" s="9">
        <f t="shared" si="10"/>
        <v>1750</v>
      </c>
      <c r="P13" s="9">
        <f t="shared" si="10"/>
        <v>300</v>
      </c>
      <c r="Q13" s="73">
        <f t="shared" si="10"/>
        <v>100</v>
      </c>
      <c r="R13" s="121">
        <f>R14+R15</f>
        <v>169260</v>
      </c>
      <c r="S13" s="65">
        <f>S14+S15</f>
        <v>49450</v>
      </c>
      <c r="T13" s="65">
        <f>T14+T15</f>
        <v>52910</v>
      </c>
      <c r="U13" s="65">
        <f>U14+U15</f>
        <v>2730</v>
      </c>
      <c r="V13" s="65">
        <f>V14+V15</f>
        <v>64170</v>
      </c>
      <c r="W13" s="124">
        <f t="shared" si="10"/>
        <v>15984</v>
      </c>
      <c r="X13" s="10">
        <f>X14+X15</f>
        <v>0</v>
      </c>
      <c r="Y13" s="10"/>
      <c r="Z13" s="10">
        <f>Z14+Z15</f>
        <v>455</v>
      </c>
      <c r="AA13" s="10">
        <f>AA14+AA15</f>
        <v>1200</v>
      </c>
      <c r="AB13" s="10">
        <f t="shared" si="10"/>
        <v>400</v>
      </c>
      <c r="AC13" s="10">
        <f t="shared" si="10"/>
        <v>9600</v>
      </c>
      <c r="AD13" s="10">
        <f t="shared" si="10"/>
        <v>300</v>
      </c>
      <c r="AE13" s="10">
        <f t="shared" si="10"/>
        <v>3700</v>
      </c>
      <c r="AF13" s="10">
        <f t="shared" si="10"/>
        <v>300</v>
      </c>
      <c r="AG13" s="10">
        <f aca="true" t="shared" si="11" ref="AG13:AO13">AG14+AG15</f>
        <v>0</v>
      </c>
      <c r="AH13" s="10">
        <f t="shared" si="11"/>
        <v>0</v>
      </c>
      <c r="AI13" s="10">
        <f t="shared" si="11"/>
        <v>0</v>
      </c>
      <c r="AJ13" s="10">
        <f t="shared" si="11"/>
        <v>0</v>
      </c>
      <c r="AK13" s="10">
        <f t="shared" si="11"/>
        <v>0</v>
      </c>
      <c r="AL13" s="10">
        <f t="shared" si="11"/>
        <v>0</v>
      </c>
      <c r="AM13" s="10">
        <f t="shared" si="11"/>
        <v>0</v>
      </c>
      <c r="AN13" s="10">
        <f t="shared" si="11"/>
        <v>0</v>
      </c>
      <c r="AO13" s="10">
        <f t="shared" si="11"/>
        <v>0</v>
      </c>
      <c r="AP13" s="10">
        <f t="shared" si="10"/>
        <v>0</v>
      </c>
      <c r="AQ13" s="10">
        <f t="shared" si="10"/>
        <v>0</v>
      </c>
      <c r="AR13" s="10">
        <f t="shared" si="10"/>
        <v>0</v>
      </c>
      <c r="AS13" s="10">
        <f t="shared" si="10"/>
        <v>0</v>
      </c>
      <c r="AT13" s="74">
        <f t="shared" si="10"/>
        <v>29</v>
      </c>
      <c r="AU13" s="105">
        <f t="shared" si="10"/>
        <v>3000</v>
      </c>
      <c r="AV13" s="98">
        <f t="shared" si="10"/>
        <v>405710</v>
      </c>
      <c r="AW13" s="65">
        <f t="shared" si="10"/>
        <v>0</v>
      </c>
      <c r="AX13" s="65">
        <f t="shared" si="10"/>
        <v>24500</v>
      </c>
      <c r="AY13" s="75">
        <f t="shared" si="10"/>
        <v>381210</v>
      </c>
      <c r="AZ13" s="124">
        <f t="shared" si="10"/>
        <v>1422.24</v>
      </c>
      <c r="BA13" s="129">
        <f t="shared" si="10"/>
        <v>230.77</v>
      </c>
      <c r="BB13" s="168">
        <f t="shared" si="10"/>
        <v>3363994.3100000005</v>
      </c>
    </row>
    <row r="14" spans="1:54" s="63" customFormat="1" ht="19.5" customHeight="1">
      <c r="A14" s="40" t="s">
        <v>12</v>
      </c>
      <c r="B14" s="94">
        <f>SUM(C14:G14)</f>
        <v>1708710</v>
      </c>
      <c r="C14" s="90">
        <f>D14+E14+F14</f>
        <v>358320</v>
      </c>
      <c r="D14" s="62">
        <f>29860*12</f>
        <v>358320</v>
      </c>
      <c r="E14" s="62"/>
      <c r="F14" s="62"/>
      <c r="G14" s="87">
        <f>H14+I14+J14</f>
        <v>992070</v>
      </c>
      <c r="H14" s="62">
        <f>75165*12</f>
        <v>901980</v>
      </c>
      <c r="I14" s="62">
        <v>45045</v>
      </c>
      <c r="J14" s="62">
        <v>45045</v>
      </c>
      <c r="K14" s="112">
        <f>B14*L14</f>
        <v>375916.2</v>
      </c>
      <c r="L14" s="106">
        <v>0.22</v>
      </c>
      <c r="M14" s="107">
        <f t="shared" si="8"/>
        <v>3062</v>
      </c>
      <c r="N14" s="6">
        <f>608/8*12</f>
        <v>912</v>
      </c>
      <c r="O14" s="6">
        <v>1750</v>
      </c>
      <c r="P14" s="6">
        <v>300</v>
      </c>
      <c r="Q14" s="76">
        <v>100</v>
      </c>
      <c r="R14" s="122">
        <f>SUM(S14:V14)</f>
        <v>47550</v>
      </c>
      <c r="S14" s="67">
        <v>26550</v>
      </c>
      <c r="T14" s="67">
        <v>6040</v>
      </c>
      <c r="U14" s="67">
        <f>22*65</f>
        <v>1430</v>
      </c>
      <c r="V14" s="67">
        <v>13530</v>
      </c>
      <c r="W14" s="125">
        <f>X14+Z14+AA14+AN14+AO14+AB14+AK14+AL14+AM14+AC14+AH14+AI14+AJ14+AD14+AE14+AG14+AF14+AP14+AQ14+AR14+AS14+AT14</f>
        <v>15584</v>
      </c>
      <c r="X14" s="7"/>
      <c r="Y14" s="7"/>
      <c r="Z14" s="7">
        <v>455</v>
      </c>
      <c r="AA14" s="7">
        <v>800</v>
      </c>
      <c r="AB14" s="7">
        <v>400</v>
      </c>
      <c r="AC14" s="7">
        <v>9600</v>
      </c>
      <c r="AD14" s="7">
        <v>300</v>
      </c>
      <c r="AE14" s="7">
        <v>3700</v>
      </c>
      <c r="AF14" s="7">
        <v>300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55">
        <v>29</v>
      </c>
      <c r="AU14" s="112">
        <v>3000</v>
      </c>
      <c r="AV14" s="126">
        <f t="shared" si="0"/>
        <v>405710</v>
      </c>
      <c r="AW14" s="67"/>
      <c r="AX14" s="67">
        <v>24500</v>
      </c>
      <c r="AY14" s="77">
        <v>381210</v>
      </c>
      <c r="AZ14" s="125">
        <v>1422.24</v>
      </c>
      <c r="BA14" s="134">
        <v>230.77</v>
      </c>
      <c r="BB14" s="171">
        <f>B14+K14+M14+R14+AU14+AV14+AZ14+BA14+W14</f>
        <v>2561185.2100000004</v>
      </c>
    </row>
    <row r="15" spans="1:54" s="63" customFormat="1" ht="19.5" customHeight="1">
      <c r="A15" s="40" t="s">
        <v>13</v>
      </c>
      <c r="B15" s="94">
        <f>SUM(C15:G15)</f>
        <v>557280</v>
      </c>
      <c r="C15" s="90">
        <f>D15+E15+F15</f>
        <v>278640</v>
      </c>
      <c r="D15" s="62">
        <f>23220*12</f>
        <v>278640</v>
      </c>
      <c r="E15" s="62"/>
      <c r="F15" s="62"/>
      <c r="G15" s="87">
        <f>H15+I15+J15</f>
        <v>0</v>
      </c>
      <c r="H15" s="62"/>
      <c r="I15" s="62"/>
      <c r="J15" s="62"/>
      <c r="K15" s="112">
        <f>B15*L15</f>
        <v>122601.6</v>
      </c>
      <c r="L15" s="106">
        <v>0.22</v>
      </c>
      <c r="M15" s="107">
        <f t="shared" si="8"/>
        <v>817.5</v>
      </c>
      <c r="N15" s="6">
        <f>545/8*12</f>
        <v>817.5</v>
      </c>
      <c r="O15" s="6">
        <v>0</v>
      </c>
      <c r="P15" s="6">
        <v>0</v>
      </c>
      <c r="Q15" s="76"/>
      <c r="R15" s="122">
        <f>SUM(S15:V15)</f>
        <v>121710</v>
      </c>
      <c r="S15" s="67">
        <v>22900</v>
      </c>
      <c r="T15" s="67">
        <v>46870</v>
      </c>
      <c r="U15" s="67">
        <f>20*65</f>
        <v>1300</v>
      </c>
      <c r="V15" s="67">
        <v>50640</v>
      </c>
      <c r="W15" s="125">
        <f>X15+Z15+AA15+AN15+AO15+AB15+AK15+AL15+AM15+AC15+AH15+AI15+AJ15+AD15+AE15+AG15+AF15+AP15+AQ15+AR15+AS15+AT15</f>
        <v>400</v>
      </c>
      <c r="X15" s="7"/>
      <c r="Y15" s="7"/>
      <c r="Z15" s="7"/>
      <c r="AA15" s="7">
        <v>400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55"/>
      <c r="AU15" s="112"/>
      <c r="AV15" s="126">
        <f t="shared" si="0"/>
        <v>0</v>
      </c>
      <c r="AW15" s="67"/>
      <c r="AX15" s="67"/>
      <c r="AY15" s="77"/>
      <c r="AZ15" s="125"/>
      <c r="BA15" s="134"/>
      <c r="BB15" s="171">
        <f>B15+K15+M15+R15+AU15+AV15+AZ15+BA15+W15</f>
        <v>802809.1</v>
      </c>
    </row>
    <row r="16" spans="1:54" s="11" customFormat="1" ht="19.5" customHeight="1">
      <c r="A16" s="42" t="s">
        <v>49</v>
      </c>
      <c r="B16" s="98">
        <f aca="true" t="shared" si="12" ref="B16:J16">B17+B18</f>
        <v>2732124</v>
      </c>
      <c r="C16" s="29">
        <f t="shared" si="12"/>
        <v>810832</v>
      </c>
      <c r="D16" s="29">
        <f t="shared" si="12"/>
        <v>772224</v>
      </c>
      <c r="E16" s="29">
        <f t="shared" si="12"/>
        <v>19304</v>
      </c>
      <c r="F16" s="29">
        <f t="shared" si="12"/>
        <v>19304</v>
      </c>
      <c r="G16" s="29">
        <f t="shared" si="12"/>
        <v>1110460</v>
      </c>
      <c r="H16" s="29">
        <f t="shared" si="12"/>
        <v>1014480</v>
      </c>
      <c r="I16" s="29">
        <f t="shared" si="12"/>
        <v>47990</v>
      </c>
      <c r="J16" s="29">
        <f t="shared" si="12"/>
        <v>47990</v>
      </c>
      <c r="K16" s="105">
        <f aca="true" t="shared" si="13" ref="K16:BB16">K17+K18</f>
        <v>601067.28</v>
      </c>
      <c r="L16" s="106">
        <v>0.22</v>
      </c>
      <c r="M16" s="107">
        <f t="shared" si="13"/>
        <v>2795</v>
      </c>
      <c r="N16" s="9">
        <f t="shared" si="13"/>
        <v>2220</v>
      </c>
      <c r="O16" s="9">
        <f t="shared" si="13"/>
        <v>0</v>
      </c>
      <c r="P16" s="9">
        <f t="shared" si="13"/>
        <v>375</v>
      </c>
      <c r="Q16" s="73">
        <f t="shared" si="13"/>
        <v>200</v>
      </c>
      <c r="R16" s="121">
        <f t="shared" si="13"/>
        <v>74015</v>
      </c>
      <c r="S16" s="65">
        <f t="shared" si="13"/>
        <v>33700</v>
      </c>
      <c r="T16" s="65">
        <f t="shared" si="13"/>
        <v>0</v>
      </c>
      <c r="U16" s="65">
        <f t="shared" si="13"/>
        <v>2275</v>
      </c>
      <c r="V16" s="65">
        <f t="shared" si="13"/>
        <v>38040</v>
      </c>
      <c r="W16" s="124">
        <f t="shared" si="13"/>
        <v>17478</v>
      </c>
      <c r="X16" s="10">
        <f>X17+X18</f>
        <v>0</v>
      </c>
      <c r="Y16" s="10"/>
      <c r="Z16" s="10">
        <f>Z17+Z18</f>
        <v>820</v>
      </c>
      <c r="AA16" s="10">
        <f>AA17+AA18</f>
        <v>1200</v>
      </c>
      <c r="AB16" s="10">
        <f t="shared" si="13"/>
        <v>1500</v>
      </c>
      <c r="AC16" s="10">
        <f t="shared" si="13"/>
        <v>9600</v>
      </c>
      <c r="AD16" s="10">
        <f t="shared" si="13"/>
        <v>300</v>
      </c>
      <c r="AE16" s="10">
        <f t="shared" si="13"/>
        <v>3700</v>
      </c>
      <c r="AF16" s="10">
        <f t="shared" si="13"/>
        <v>300</v>
      </c>
      <c r="AG16" s="10">
        <f aca="true" t="shared" si="14" ref="AG16:AO16">AG17+AG18</f>
        <v>0</v>
      </c>
      <c r="AH16" s="10">
        <f t="shared" si="14"/>
        <v>0</v>
      </c>
      <c r="AI16" s="10">
        <f t="shared" si="14"/>
        <v>0</v>
      </c>
      <c r="AJ16" s="10">
        <f t="shared" si="14"/>
        <v>0</v>
      </c>
      <c r="AK16" s="10">
        <f t="shared" si="14"/>
        <v>0</v>
      </c>
      <c r="AL16" s="10">
        <f t="shared" si="14"/>
        <v>0</v>
      </c>
      <c r="AM16" s="10">
        <f t="shared" si="14"/>
        <v>0</v>
      </c>
      <c r="AN16" s="10">
        <f t="shared" si="14"/>
        <v>0</v>
      </c>
      <c r="AO16" s="10">
        <f t="shared" si="14"/>
        <v>0</v>
      </c>
      <c r="AP16" s="10">
        <f t="shared" si="13"/>
        <v>0</v>
      </c>
      <c r="AQ16" s="10">
        <f t="shared" si="13"/>
        <v>0</v>
      </c>
      <c r="AR16" s="10">
        <f t="shared" si="13"/>
        <v>0</v>
      </c>
      <c r="AS16" s="10">
        <f t="shared" si="13"/>
        <v>0</v>
      </c>
      <c r="AT16" s="74">
        <f t="shared" si="13"/>
        <v>58</v>
      </c>
      <c r="AU16" s="105">
        <f t="shared" si="13"/>
        <v>3000</v>
      </c>
      <c r="AV16" s="98">
        <f t="shared" si="13"/>
        <v>261864</v>
      </c>
      <c r="AW16" s="65">
        <f t="shared" si="13"/>
        <v>0</v>
      </c>
      <c r="AX16" s="65">
        <f t="shared" si="13"/>
        <v>44030</v>
      </c>
      <c r="AY16" s="75">
        <f t="shared" si="13"/>
        <v>217834</v>
      </c>
      <c r="AZ16" s="124">
        <f t="shared" si="13"/>
        <v>0</v>
      </c>
      <c r="BA16" s="129">
        <f t="shared" si="13"/>
        <v>230.77</v>
      </c>
      <c r="BB16" s="168">
        <f t="shared" si="13"/>
        <v>3692574.05</v>
      </c>
    </row>
    <row r="17" spans="1:54" s="63" customFormat="1" ht="19.5" customHeight="1">
      <c r="A17" s="40" t="s">
        <v>12</v>
      </c>
      <c r="B17" s="94">
        <f>SUM(C17:G17)</f>
        <v>1799980</v>
      </c>
      <c r="C17" s="90">
        <f>D17+E17+F17</f>
        <v>344760</v>
      </c>
      <c r="D17" s="62">
        <f>28730*12</f>
        <v>344760</v>
      </c>
      <c r="E17" s="62"/>
      <c r="F17" s="62"/>
      <c r="G17" s="87">
        <f>H17+I17+J17</f>
        <v>1110460</v>
      </c>
      <c r="H17" s="62">
        <f>84540*12</f>
        <v>1014480</v>
      </c>
      <c r="I17" s="62">
        <f>47990</f>
        <v>47990</v>
      </c>
      <c r="J17" s="62">
        <v>47990</v>
      </c>
      <c r="K17" s="112">
        <f>B17*L17</f>
        <v>395995.6</v>
      </c>
      <c r="L17" s="106">
        <v>0.22</v>
      </c>
      <c r="M17" s="107">
        <f t="shared" si="8"/>
        <v>1735</v>
      </c>
      <c r="N17" s="6">
        <f>840/8*12</f>
        <v>1260</v>
      </c>
      <c r="O17" s="6">
        <v>0</v>
      </c>
      <c r="P17" s="6">
        <v>375</v>
      </c>
      <c r="Q17" s="76">
        <v>100</v>
      </c>
      <c r="R17" s="122">
        <f>SUM(S17:V17)</f>
        <v>11890</v>
      </c>
      <c r="S17" s="67"/>
      <c r="T17" s="67"/>
      <c r="U17" s="67">
        <f>20*65</f>
        <v>1300</v>
      </c>
      <c r="V17" s="67">
        <v>10590</v>
      </c>
      <c r="W17" s="125">
        <f>X17+Z17+AA17+AN17+AO17+AB17+AK17+AL17+AM17+AC17+AH17+AI17+AJ17+AD17+AE17+AG17+AF17+AP17+AQ17+AR17+AS17+AT17</f>
        <v>17078</v>
      </c>
      <c r="X17" s="7"/>
      <c r="Y17" s="7"/>
      <c r="Z17" s="7">
        <v>820</v>
      </c>
      <c r="AA17" s="7">
        <v>800</v>
      </c>
      <c r="AB17" s="7">
        <v>1500</v>
      </c>
      <c r="AC17" s="7">
        <v>9600</v>
      </c>
      <c r="AD17" s="7">
        <v>300</v>
      </c>
      <c r="AE17" s="7">
        <v>3700</v>
      </c>
      <c r="AF17" s="7">
        <v>300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55">
        <v>58</v>
      </c>
      <c r="AU17" s="112">
        <v>3000</v>
      </c>
      <c r="AV17" s="126">
        <f t="shared" si="0"/>
        <v>261864</v>
      </c>
      <c r="AW17" s="67"/>
      <c r="AX17" s="67">
        <v>44030</v>
      </c>
      <c r="AY17" s="77">
        <v>217834</v>
      </c>
      <c r="AZ17" s="125"/>
      <c r="BA17" s="134">
        <v>230.77</v>
      </c>
      <c r="BB17" s="171">
        <f>B17+K17+M17+R17+AU17+AV17+AZ17+BA17+W17</f>
        <v>2491773.37</v>
      </c>
    </row>
    <row r="18" spans="1:54" s="63" customFormat="1" ht="19.5" customHeight="1" thickBot="1">
      <c r="A18" s="40" t="s">
        <v>13</v>
      </c>
      <c r="B18" s="94">
        <f>SUM(C18:G18)</f>
        <v>932144</v>
      </c>
      <c r="C18" s="90">
        <f>D18+E18+F18</f>
        <v>466072</v>
      </c>
      <c r="D18" s="62">
        <f>35622*12</f>
        <v>427464</v>
      </c>
      <c r="E18" s="92">
        <v>19304</v>
      </c>
      <c r="F18" s="92">
        <v>19304</v>
      </c>
      <c r="G18" s="87">
        <f>H18+I18+J18</f>
        <v>0</v>
      </c>
      <c r="H18" s="62"/>
      <c r="I18" s="62"/>
      <c r="J18" s="62"/>
      <c r="K18" s="112">
        <f>B18*L18</f>
        <v>205071.68</v>
      </c>
      <c r="L18" s="106">
        <v>0.22</v>
      </c>
      <c r="M18" s="107">
        <f t="shared" si="8"/>
        <v>1060</v>
      </c>
      <c r="N18" s="6">
        <f>80*12</f>
        <v>960</v>
      </c>
      <c r="O18" s="6">
        <v>0</v>
      </c>
      <c r="P18" s="6">
        <v>0</v>
      </c>
      <c r="Q18" s="48">
        <v>100</v>
      </c>
      <c r="R18" s="112">
        <f>SUM(S18:V18)</f>
        <v>62125</v>
      </c>
      <c r="S18" s="67">
        <v>33700</v>
      </c>
      <c r="T18" s="67"/>
      <c r="U18" s="67">
        <f>15*65</f>
        <v>975</v>
      </c>
      <c r="V18" s="61">
        <v>27450</v>
      </c>
      <c r="W18" s="126">
        <f>X18+Z18+AA18+AN18+AO18+AB18+AK18+AL18+AM18+AC18+AH18+AI18+AJ18+AD18+AE18+AG18+AF18+AP18+AQ18+AR18+AS18+AT18</f>
        <v>400</v>
      </c>
      <c r="X18" s="7"/>
      <c r="Y18" s="7"/>
      <c r="Z18" s="7"/>
      <c r="AA18" s="7">
        <v>400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55"/>
      <c r="AU18" s="112"/>
      <c r="AV18" s="126">
        <f t="shared" si="0"/>
        <v>0</v>
      </c>
      <c r="AW18" s="67"/>
      <c r="AX18" s="67"/>
      <c r="AY18" s="77"/>
      <c r="AZ18" s="125"/>
      <c r="BA18" s="134"/>
      <c r="BB18" s="171">
        <f>B18+K18+M18+R18+AU18+AV18+AZ18+BA18+W18</f>
        <v>1200800.68</v>
      </c>
    </row>
    <row r="19" spans="1:54" s="22" customFormat="1" ht="19.5" customHeight="1">
      <c r="A19" s="36" t="s">
        <v>14</v>
      </c>
      <c r="B19" s="99">
        <f>B10+B13+B16</f>
        <v>8185294</v>
      </c>
      <c r="C19" s="148">
        <f>C10+C13+C16</f>
        <v>2231712</v>
      </c>
      <c r="D19" s="147">
        <f aca="true" t="shared" si="15" ref="D19:J19">D10+D13+D16</f>
        <v>2179704</v>
      </c>
      <c r="E19" s="147">
        <f t="shared" si="15"/>
        <v>26004</v>
      </c>
      <c r="F19" s="147">
        <f t="shared" si="15"/>
        <v>26004</v>
      </c>
      <c r="G19" s="148">
        <f t="shared" si="15"/>
        <v>3721870</v>
      </c>
      <c r="H19" s="147">
        <f t="shared" si="15"/>
        <v>3407580</v>
      </c>
      <c r="I19" s="147">
        <f t="shared" si="15"/>
        <v>157145</v>
      </c>
      <c r="J19" s="147">
        <f t="shared" si="15"/>
        <v>157145</v>
      </c>
      <c r="K19" s="113">
        <f>K10+K13+K16</f>
        <v>1800764.6800000002</v>
      </c>
      <c r="L19" s="106">
        <v>0.22</v>
      </c>
      <c r="M19" s="113">
        <f aca="true" t="shared" si="16" ref="M19:BB19">M10+M13+M16</f>
        <v>11955</v>
      </c>
      <c r="N19" s="68">
        <f t="shared" si="16"/>
        <v>6780</v>
      </c>
      <c r="O19" s="68">
        <f t="shared" si="16"/>
        <v>3500</v>
      </c>
      <c r="P19" s="68">
        <f t="shared" si="16"/>
        <v>1175</v>
      </c>
      <c r="Q19" s="68">
        <f t="shared" si="16"/>
        <v>500</v>
      </c>
      <c r="R19" s="113">
        <f t="shared" si="16"/>
        <v>431010</v>
      </c>
      <c r="S19" s="68">
        <f t="shared" si="16"/>
        <v>171810</v>
      </c>
      <c r="T19" s="68"/>
      <c r="U19" s="68">
        <f t="shared" si="16"/>
        <v>8710</v>
      </c>
      <c r="V19" s="68">
        <f t="shared" si="16"/>
        <v>172260</v>
      </c>
      <c r="W19" s="113">
        <f t="shared" si="16"/>
        <v>67158</v>
      </c>
      <c r="X19" s="68">
        <f t="shared" si="16"/>
        <v>16700</v>
      </c>
      <c r="Y19" s="68"/>
      <c r="Z19" s="68">
        <f t="shared" si="16"/>
        <v>1855</v>
      </c>
      <c r="AA19" s="68">
        <f t="shared" si="16"/>
        <v>3600</v>
      </c>
      <c r="AB19" s="68">
        <f t="shared" si="16"/>
        <v>3100</v>
      </c>
      <c r="AC19" s="68">
        <f t="shared" si="16"/>
        <v>28800</v>
      </c>
      <c r="AD19" s="68">
        <f t="shared" si="16"/>
        <v>900</v>
      </c>
      <c r="AE19" s="68">
        <f t="shared" si="16"/>
        <v>11100</v>
      </c>
      <c r="AF19" s="68">
        <f t="shared" si="16"/>
        <v>900</v>
      </c>
      <c r="AG19" s="68">
        <f aca="true" t="shared" si="17" ref="AG19:AO19">AG10+AG13+AG16</f>
        <v>0</v>
      </c>
      <c r="AH19" s="68">
        <f t="shared" si="17"/>
        <v>0</v>
      </c>
      <c r="AI19" s="68">
        <f t="shared" si="17"/>
        <v>0</v>
      </c>
      <c r="AJ19" s="68">
        <f t="shared" si="17"/>
        <v>0</v>
      </c>
      <c r="AK19" s="68">
        <f t="shared" si="17"/>
        <v>0</v>
      </c>
      <c r="AL19" s="68">
        <f t="shared" si="17"/>
        <v>0</v>
      </c>
      <c r="AM19" s="68">
        <f t="shared" si="17"/>
        <v>0</v>
      </c>
      <c r="AN19" s="68">
        <f t="shared" si="17"/>
        <v>0</v>
      </c>
      <c r="AO19" s="68">
        <f t="shared" si="17"/>
        <v>0</v>
      </c>
      <c r="AP19" s="68">
        <f t="shared" si="16"/>
        <v>0</v>
      </c>
      <c r="AQ19" s="68">
        <f t="shared" si="16"/>
        <v>0</v>
      </c>
      <c r="AR19" s="68">
        <f t="shared" si="16"/>
        <v>0</v>
      </c>
      <c r="AS19" s="68">
        <f t="shared" si="16"/>
        <v>0</v>
      </c>
      <c r="AT19" s="68">
        <f t="shared" si="16"/>
        <v>203</v>
      </c>
      <c r="AU19" s="113">
        <f t="shared" si="16"/>
        <v>9000</v>
      </c>
      <c r="AV19" s="113">
        <f t="shared" si="16"/>
        <v>1204321</v>
      </c>
      <c r="AW19" s="68">
        <f t="shared" si="16"/>
        <v>0</v>
      </c>
      <c r="AX19" s="68">
        <f t="shared" si="16"/>
        <v>115150</v>
      </c>
      <c r="AY19" s="68">
        <f t="shared" si="16"/>
        <v>1089171</v>
      </c>
      <c r="AZ19" s="113">
        <f t="shared" si="16"/>
        <v>1422.24</v>
      </c>
      <c r="BA19" s="113">
        <f t="shared" si="16"/>
        <v>692.3100000000001</v>
      </c>
      <c r="BB19" s="172">
        <f t="shared" si="16"/>
        <v>11711617.23</v>
      </c>
    </row>
    <row r="20" spans="1:54" s="23" customFormat="1" ht="30.75" customHeight="1">
      <c r="A20" s="43" t="s">
        <v>12</v>
      </c>
      <c r="B20" s="100">
        <f>B11+B14+B17</f>
        <v>5984830</v>
      </c>
      <c r="C20" s="149">
        <f>C11+C14+C17</f>
        <v>1131480</v>
      </c>
      <c r="D20" s="150">
        <f aca="true" t="shared" si="18" ref="D20:J20">D11+D14+D17</f>
        <v>1131480</v>
      </c>
      <c r="E20" s="150">
        <f t="shared" si="18"/>
        <v>0</v>
      </c>
      <c r="F20" s="150">
        <f t="shared" si="18"/>
        <v>0</v>
      </c>
      <c r="G20" s="149">
        <f t="shared" si="18"/>
        <v>3721870</v>
      </c>
      <c r="H20" s="150">
        <f t="shared" si="18"/>
        <v>3407580</v>
      </c>
      <c r="I20" s="150">
        <f t="shared" si="18"/>
        <v>157145</v>
      </c>
      <c r="J20" s="150">
        <f t="shared" si="18"/>
        <v>157145</v>
      </c>
      <c r="K20" s="114">
        <f aca="true" t="shared" si="19" ref="K20:BB20">K11+K14+K17</f>
        <v>1316662.6</v>
      </c>
      <c r="L20" s="106">
        <v>0.22</v>
      </c>
      <c r="M20" s="114">
        <f t="shared" si="19"/>
        <v>8761</v>
      </c>
      <c r="N20" s="28">
        <f t="shared" si="19"/>
        <v>3786</v>
      </c>
      <c r="O20" s="28">
        <f t="shared" si="19"/>
        <v>3500</v>
      </c>
      <c r="P20" s="28">
        <f t="shared" si="19"/>
        <v>1175</v>
      </c>
      <c r="Q20" s="28">
        <f t="shared" si="19"/>
        <v>300</v>
      </c>
      <c r="R20" s="114">
        <f aca="true" t="shared" si="20" ref="R20:U21">R11+R14+R17</f>
        <v>138560</v>
      </c>
      <c r="S20" s="28">
        <f t="shared" si="20"/>
        <v>65250</v>
      </c>
      <c r="T20" s="28">
        <f t="shared" si="20"/>
        <v>26150</v>
      </c>
      <c r="U20" s="28">
        <f t="shared" si="20"/>
        <v>4810</v>
      </c>
      <c r="V20" s="28">
        <f t="shared" si="19"/>
        <v>42350</v>
      </c>
      <c r="W20" s="114">
        <f t="shared" si="19"/>
        <v>62658</v>
      </c>
      <c r="X20" s="28">
        <f t="shared" si="19"/>
        <v>13400</v>
      </c>
      <c r="Y20" s="28"/>
      <c r="Z20" s="28">
        <f t="shared" si="19"/>
        <v>1855</v>
      </c>
      <c r="AA20" s="28">
        <f t="shared" si="19"/>
        <v>2400</v>
      </c>
      <c r="AB20" s="28">
        <f t="shared" si="19"/>
        <v>3100</v>
      </c>
      <c r="AC20" s="28">
        <f t="shared" si="19"/>
        <v>28800</v>
      </c>
      <c r="AD20" s="28">
        <f t="shared" si="19"/>
        <v>900</v>
      </c>
      <c r="AE20" s="28">
        <f t="shared" si="19"/>
        <v>11100</v>
      </c>
      <c r="AF20" s="28">
        <f t="shared" si="19"/>
        <v>900</v>
      </c>
      <c r="AG20" s="28">
        <f t="shared" si="19"/>
        <v>0</v>
      </c>
      <c r="AH20" s="28">
        <f t="shared" si="19"/>
        <v>0</v>
      </c>
      <c r="AI20" s="28">
        <f t="shared" si="19"/>
        <v>0</v>
      </c>
      <c r="AJ20" s="28">
        <f t="shared" si="19"/>
        <v>0</v>
      </c>
      <c r="AK20" s="28">
        <f t="shared" si="19"/>
        <v>0</v>
      </c>
      <c r="AL20" s="28">
        <f t="shared" si="19"/>
        <v>0</v>
      </c>
      <c r="AM20" s="28">
        <f t="shared" si="19"/>
        <v>0</v>
      </c>
      <c r="AN20" s="28">
        <f t="shared" si="19"/>
        <v>0</v>
      </c>
      <c r="AO20" s="28">
        <f t="shared" si="19"/>
        <v>0</v>
      </c>
      <c r="AP20" s="28">
        <f t="shared" si="19"/>
        <v>0</v>
      </c>
      <c r="AQ20" s="28">
        <f t="shared" si="19"/>
        <v>0</v>
      </c>
      <c r="AR20" s="28">
        <f t="shared" si="19"/>
        <v>0</v>
      </c>
      <c r="AS20" s="28">
        <f t="shared" si="19"/>
        <v>0</v>
      </c>
      <c r="AT20" s="28">
        <f t="shared" si="19"/>
        <v>203</v>
      </c>
      <c r="AU20" s="114">
        <f t="shared" si="19"/>
        <v>9000</v>
      </c>
      <c r="AV20" s="114">
        <f t="shared" si="19"/>
        <v>1204321</v>
      </c>
      <c r="AW20" s="28">
        <f t="shared" si="19"/>
        <v>0</v>
      </c>
      <c r="AX20" s="28">
        <f t="shared" si="19"/>
        <v>115150</v>
      </c>
      <c r="AY20" s="28">
        <f t="shared" si="19"/>
        <v>1089171</v>
      </c>
      <c r="AZ20" s="114">
        <f t="shared" si="19"/>
        <v>1422.24</v>
      </c>
      <c r="BA20" s="114">
        <f t="shared" si="19"/>
        <v>692.3100000000001</v>
      </c>
      <c r="BB20" s="173">
        <f t="shared" si="19"/>
        <v>8726907.15</v>
      </c>
    </row>
    <row r="21" spans="1:54" s="23" customFormat="1" ht="34.5" customHeight="1" thickBot="1">
      <c r="A21" s="44" t="s">
        <v>13</v>
      </c>
      <c r="B21" s="101">
        <f>B12+B15+B18</f>
        <v>2200464</v>
      </c>
      <c r="C21" s="151">
        <f aca="true" t="shared" si="21" ref="C21:J21">C12+C15+C18</f>
        <v>1100232</v>
      </c>
      <c r="D21" s="152">
        <f t="shared" si="21"/>
        <v>1048224</v>
      </c>
      <c r="E21" s="152">
        <f t="shared" si="21"/>
        <v>26004</v>
      </c>
      <c r="F21" s="152">
        <f t="shared" si="21"/>
        <v>26004</v>
      </c>
      <c r="G21" s="151">
        <f t="shared" si="21"/>
        <v>0</v>
      </c>
      <c r="H21" s="152">
        <f t="shared" si="21"/>
        <v>0</v>
      </c>
      <c r="I21" s="152">
        <f t="shared" si="21"/>
        <v>0</v>
      </c>
      <c r="J21" s="152">
        <f t="shared" si="21"/>
        <v>0</v>
      </c>
      <c r="K21" s="115">
        <f aca="true" t="shared" si="22" ref="K21:BB21">K12+K15+K18</f>
        <v>484102.08</v>
      </c>
      <c r="L21" s="106">
        <v>0.22</v>
      </c>
      <c r="M21" s="115">
        <f t="shared" si="22"/>
        <v>3194</v>
      </c>
      <c r="N21" s="69">
        <f t="shared" si="22"/>
        <v>2994</v>
      </c>
      <c r="O21" s="69">
        <f t="shared" si="22"/>
        <v>0</v>
      </c>
      <c r="P21" s="69">
        <f t="shared" si="22"/>
        <v>0</v>
      </c>
      <c r="Q21" s="69">
        <f t="shared" si="22"/>
        <v>200</v>
      </c>
      <c r="R21" s="115">
        <f t="shared" si="20"/>
        <v>292450</v>
      </c>
      <c r="S21" s="69">
        <f t="shared" si="20"/>
        <v>106560</v>
      </c>
      <c r="T21" s="69">
        <f t="shared" si="20"/>
        <v>52080</v>
      </c>
      <c r="U21" s="69">
        <f t="shared" si="20"/>
        <v>3900</v>
      </c>
      <c r="V21" s="69">
        <f>V12+V15+V18</f>
        <v>129910</v>
      </c>
      <c r="W21" s="115">
        <f t="shared" si="22"/>
        <v>4500</v>
      </c>
      <c r="X21" s="69">
        <f t="shared" si="22"/>
        <v>3300</v>
      </c>
      <c r="Y21" s="69"/>
      <c r="Z21" s="69">
        <f t="shared" si="22"/>
        <v>0</v>
      </c>
      <c r="AA21" s="69">
        <f t="shared" si="22"/>
        <v>1200</v>
      </c>
      <c r="AB21" s="69">
        <f t="shared" si="22"/>
        <v>0</v>
      </c>
      <c r="AC21" s="69">
        <f t="shared" si="22"/>
        <v>0</v>
      </c>
      <c r="AD21" s="69">
        <f t="shared" si="22"/>
        <v>0</v>
      </c>
      <c r="AE21" s="69">
        <f t="shared" si="22"/>
        <v>0</v>
      </c>
      <c r="AF21" s="69">
        <f t="shared" si="22"/>
        <v>0</v>
      </c>
      <c r="AG21" s="69">
        <f t="shared" si="22"/>
        <v>0</v>
      </c>
      <c r="AH21" s="69">
        <f t="shared" si="22"/>
        <v>0</v>
      </c>
      <c r="AI21" s="69">
        <f t="shared" si="22"/>
        <v>0</v>
      </c>
      <c r="AJ21" s="69">
        <f t="shared" si="22"/>
        <v>0</v>
      </c>
      <c r="AK21" s="69">
        <f t="shared" si="22"/>
        <v>0</v>
      </c>
      <c r="AL21" s="69">
        <f t="shared" si="22"/>
        <v>0</v>
      </c>
      <c r="AM21" s="69">
        <f t="shared" si="22"/>
        <v>0</v>
      </c>
      <c r="AN21" s="69">
        <f t="shared" si="22"/>
        <v>0</v>
      </c>
      <c r="AO21" s="69">
        <f t="shared" si="22"/>
        <v>0</v>
      </c>
      <c r="AP21" s="69">
        <f t="shared" si="22"/>
        <v>0</v>
      </c>
      <c r="AQ21" s="69">
        <f t="shared" si="22"/>
        <v>0</v>
      </c>
      <c r="AR21" s="69">
        <f t="shared" si="22"/>
        <v>0</v>
      </c>
      <c r="AS21" s="69">
        <f t="shared" si="22"/>
        <v>0</v>
      </c>
      <c r="AT21" s="69">
        <f t="shared" si="22"/>
        <v>0</v>
      </c>
      <c r="AU21" s="115">
        <f t="shared" si="22"/>
        <v>0</v>
      </c>
      <c r="AV21" s="115">
        <f t="shared" si="22"/>
        <v>0</v>
      </c>
      <c r="AW21" s="69">
        <f t="shared" si="22"/>
        <v>0</v>
      </c>
      <c r="AX21" s="69">
        <f t="shared" si="22"/>
        <v>0</v>
      </c>
      <c r="AY21" s="69">
        <f t="shared" si="22"/>
        <v>0</v>
      </c>
      <c r="AZ21" s="115">
        <f t="shared" si="22"/>
        <v>0</v>
      </c>
      <c r="BA21" s="115">
        <f t="shared" si="22"/>
        <v>0</v>
      </c>
      <c r="BB21" s="174">
        <f t="shared" si="22"/>
        <v>2984710.08</v>
      </c>
    </row>
    <row r="22" spans="1:56" s="25" customFormat="1" ht="36" customHeight="1">
      <c r="A22" s="45" t="s">
        <v>30</v>
      </c>
      <c r="B22" s="102">
        <f>B9+B20</f>
        <v>13019430</v>
      </c>
      <c r="C22" s="153">
        <f aca="true" t="shared" si="23" ref="C22:J22">C9+C20</f>
        <v>2163360</v>
      </c>
      <c r="D22" s="155">
        <f t="shared" si="23"/>
        <v>2163360</v>
      </c>
      <c r="E22" s="155">
        <f t="shared" si="23"/>
        <v>0</v>
      </c>
      <c r="F22" s="155">
        <f t="shared" si="23"/>
        <v>0</v>
      </c>
      <c r="G22" s="153">
        <f t="shared" si="23"/>
        <v>8692710</v>
      </c>
      <c r="H22" s="155">
        <f t="shared" si="23"/>
        <v>8056020</v>
      </c>
      <c r="I22" s="155">
        <f t="shared" si="23"/>
        <v>318345</v>
      </c>
      <c r="J22" s="155">
        <f t="shared" si="23"/>
        <v>318345</v>
      </c>
      <c r="K22" s="116">
        <f>K9+K20</f>
        <v>2864274.6</v>
      </c>
      <c r="L22" s="106">
        <v>0.22</v>
      </c>
      <c r="M22" s="102">
        <f aca="true" t="shared" si="24" ref="M22:V22">M9+M20</f>
        <v>25694</v>
      </c>
      <c r="N22" s="24">
        <f t="shared" si="24"/>
        <v>5886</v>
      </c>
      <c r="O22" s="24">
        <f t="shared" si="24"/>
        <v>15750</v>
      </c>
      <c r="P22" s="24">
        <f t="shared" si="24"/>
        <v>2558</v>
      </c>
      <c r="Q22" s="33">
        <f t="shared" si="24"/>
        <v>1500</v>
      </c>
      <c r="R22" s="116">
        <f t="shared" si="24"/>
        <v>596358.47</v>
      </c>
      <c r="S22" s="53">
        <f t="shared" si="24"/>
        <v>312130</v>
      </c>
      <c r="T22" s="53"/>
      <c r="U22" s="53">
        <f t="shared" si="24"/>
        <v>15275</v>
      </c>
      <c r="V22" s="53">
        <f t="shared" si="24"/>
        <v>128190</v>
      </c>
      <c r="W22" s="102">
        <f aca="true" t="shared" si="25" ref="W22:BB22">W9+W20</f>
        <v>110235.708</v>
      </c>
      <c r="X22" s="24">
        <f t="shared" si="25"/>
        <v>27200</v>
      </c>
      <c r="Y22" s="24"/>
      <c r="Z22" s="24">
        <f t="shared" si="25"/>
        <v>3478.708</v>
      </c>
      <c r="AA22" s="24">
        <f t="shared" si="25"/>
        <v>4000</v>
      </c>
      <c r="AB22" s="24">
        <f t="shared" si="25"/>
        <v>5100</v>
      </c>
      <c r="AC22" s="24">
        <f t="shared" si="25"/>
        <v>48000</v>
      </c>
      <c r="AD22" s="24">
        <f t="shared" si="25"/>
        <v>1500</v>
      </c>
      <c r="AE22" s="24">
        <f t="shared" si="25"/>
        <v>18500</v>
      </c>
      <c r="AF22" s="24">
        <f t="shared" si="25"/>
        <v>1500</v>
      </c>
      <c r="AG22" s="24">
        <f aca="true" t="shared" si="26" ref="AG22:AO22">AG9+AG20</f>
        <v>0</v>
      </c>
      <c r="AH22" s="24">
        <f t="shared" si="26"/>
        <v>0</v>
      </c>
      <c r="AI22" s="24">
        <f t="shared" si="26"/>
        <v>0</v>
      </c>
      <c r="AJ22" s="24">
        <f t="shared" si="26"/>
        <v>0</v>
      </c>
      <c r="AK22" s="24">
        <f t="shared" si="26"/>
        <v>0</v>
      </c>
      <c r="AL22" s="24">
        <f t="shared" si="26"/>
        <v>0</v>
      </c>
      <c r="AM22" s="24">
        <f t="shared" si="26"/>
        <v>0</v>
      </c>
      <c r="AN22" s="24">
        <f t="shared" si="26"/>
        <v>0</v>
      </c>
      <c r="AO22" s="24">
        <f t="shared" si="26"/>
        <v>0</v>
      </c>
      <c r="AP22" s="24">
        <f t="shared" si="25"/>
        <v>0</v>
      </c>
      <c r="AQ22" s="24">
        <f t="shared" si="25"/>
        <v>0</v>
      </c>
      <c r="AR22" s="24">
        <f t="shared" si="25"/>
        <v>0</v>
      </c>
      <c r="AS22" s="24">
        <f t="shared" si="25"/>
        <v>0</v>
      </c>
      <c r="AT22" s="33">
        <f t="shared" si="25"/>
        <v>957</v>
      </c>
      <c r="AU22" s="116">
        <f t="shared" si="25"/>
        <v>15000</v>
      </c>
      <c r="AV22" s="102">
        <f t="shared" si="25"/>
        <v>2636621</v>
      </c>
      <c r="AW22" s="24">
        <f t="shared" si="25"/>
        <v>10000</v>
      </c>
      <c r="AX22" s="24">
        <f t="shared" si="25"/>
        <v>404712</v>
      </c>
      <c r="AY22" s="33">
        <f t="shared" si="25"/>
        <v>2221909</v>
      </c>
      <c r="AZ22" s="135">
        <f t="shared" si="25"/>
        <v>2422.24</v>
      </c>
      <c r="BA22" s="136">
        <f t="shared" si="25"/>
        <v>1153.8500000000001</v>
      </c>
      <c r="BB22" s="175">
        <f t="shared" si="25"/>
        <v>19271189.868</v>
      </c>
      <c r="BD22" s="26"/>
    </row>
    <row r="23" spans="1:54" s="25" customFormat="1" ht="43.5" customHeight="1" thickBot="1">
      <c r="A23" s="46" t="s">
        <v>31</v>
      </c>
      <c r="B23" s="103">
        <f>B21</f>
        <v>2200464</v>
      </c>
      <c r="C23" s="154">
        <f aca="true" t="shared" si="27" ref="C23:J23">C21</f>
        <v>1100232</v>
      </c>
      <c r="D23" s="156">
        <f t="shared" si="27"/>
        <v>1048224</v>
      </c>
      <c r="E23" s="156">
        <f t="shared" si="27"/>
        <v>26004</v>
      </c>
      <c r="F23" s="156">
        <f t="shared" si="27"/>
        <v>26004</v>
      </c>
      <c r="G23" s="154">
        <f t="shared" si="27"/>
        <v>0</v>
      </c>
      <c r="H23" s="156">
        <f t="shared" si="27"/>
        <v>0</v>
      </c>
      <c r="I23" s="156">
        <f t="shared" si="27"/>
        <v>0</v>
      </c>
      <c r="J23" s="156">
        <f t="shared" si="27"/>
        <v>0</v>
      </c>
      <c r="K23" s="117">
        <f aca="true" t="shared" si="28" ref="K23:BB23">K21</f>
        <v>484102.08</v>
      </c>
      <c r="L23" s="106">
        <v>0.22</v>
      </c>
      <c r="M23" s="103">
        <f t="shared" si="28"/>
        <v>3194</v>
      </c>
      <c r="N23" s="78">
        <f t="shared" si="28"/>
        <v>2994</v>
      </c>
      <c r="O23" s="78">
        <f t="shared" si="28"/>
        <v>0</v>
      </c>
      <c r="P23" s="78">
        <f t="shared" si="28"/>
        <v>0</v>
      </c>
      <c r="Q23" s="79">
        <f t="shared" si="28"/>
        <v>200</v>
      </c>
      <c r="R23" s="117">
        <f t="shared" si="28"/>
        <v>292450</v>
      </c>
      <c r="S23" s="80">
        <f t="shared" si="28"/>
        <v>106560</v>
      </c>
      <c r="T23" s="80"/>
      <c r="U23" s="80">
        <f t="shared" si="28"/>
        <v>3900</v>
      </c>
      <c r="V23" s="80">
        <f t="shared" si="28"/>
        <v>129910</v>
      </c>
      <c r="W23" s="103">
        <f t="shared" si="28"/>
        <v>4500</v>
      </c>
      <c r="X23" s="78">
        <f t="shared" si="28"/>
        <v>3300</v>
      </c>
      <c r="Y23" s="78"/>
      <c r="Z23" s="78">
        <f t="shared" si="28"/>
        <v>0</v>
      </c>
      <c r="AA23" s="78">
        <f t="shared" si="28"/>
        <v>1200</v>
      </c>
      <c r="AB23" s="78">
        <f t="shared" si="28"/>
        <v>0</v>
      </c>
      <c r="AC23" s="78">
        <f t="shared" si="28"/>
        <v>0</v>
      </c>
      <c r="AD23" s="78">
        <f t="shared" si="28"/>
        <v>0</v>
      </c>
      <c r="AE23" s="78">
        <f t="shared" si="28"/>
        <v>0</v>
      </c>
      <c r="AF23" s="78">
        <f t="shared" si="28"/>
        <v>0</v>
      </c>
      <c r="AG23" s="78">
        <f aca="true" t="shared" si="29" ref="AG23:AO23">AG21</f>
        <v>0</v>
      </c>
      <c r="AH23" s="78">
        <f t="shared" si="29"/>
        <v>0</v>
      </c>
      <c r="AI23" s="78">
        <f t="shared" si="29"/>
        <v>0</v>
      </c>
      <c r="AJ23" s="78">
        <f t="shared" si="29"/>
        <v>0</v>
      </c>
      <c r="AK23" s="78">
        <f t="shared" si="29"/>
        <v>0</v>
      </c>
      <c r="AL23" s="78">
        <f t="shared" si="29"/>
        <v>0</v>
      </c>
      <c r="AM23" s="78">
        <f t="shared" si="29"/>
        <v>0</v>
      </c>
      <c r="AN23" s="78">
        <f t="shared" si="29"/>
        <v>0</v>
      </c>
      <c r="AO23" s="78">
        <f t="shared" si="29"/>
        <v>0</v>
      </c>
      <c r="AP23" s="78">
        <f t="shared" si="28"/>
        <v>0</v>
      </c>
      <c r="AQ23" s="78">
        <f t="shared" si="28"/>
        <v>0</v>
      </c>
      <c r="AR23" s="78">
        <f t="shared" si="28"/>
        <v>0</v>
      </c>
      <c r="AS23" s="78">
        <f t="shared" si="28"/>
        <v>0</v>
      </c>
      <c r="AT23" s="79">
        <f t="shared" si="28"/>
        <v>0</v>
      </c>
      <c r="AU23" s="117">
        <f t="shared" si="28"/>
        <v>0</v>
      </c>
      <c r="AV23" s="103">
        <f t="shared" si="28"/>
        <v>0</v>
      </c>
      <c r="AW23" s="78">
        <f t="shared" si="28"/>
        <v>0</v>
      </c>
      <c r="AX23" s="78">
        <f t="shared" si="28"/>
        <v>0</v>
      </c>
      <c r="AY23" s="79">
        <f t="shared" si="28"/>
        <v>0</v>
      </c>
      <c r="AZ23" s="137">
        <f t="shared" si="28"/>
        <v>0</v>
      </c>
      <c r="BA23" s="138">
        <f t="shared" si="28"/>
        <v>0</v>
      </c>
      <c r="BB23" s="176">
        <f t="shared" si="28"/>
        <v>2984710.08</v>
      </c>
    </row>
    <row r="24" spans="1:54" s="22" customFormat="1" ht="33.75" customHeight="1" thickBot="1">
      <c r="A24" s="39" t="s">
        <v>15</v>
      </c>
      <c r="B24" s="96">
        <f aca="true" t="shared" si="30" ref="B24:BB24">SUM(B22:B23)</f>
        <v>15219894</v>
      </c>
      <c r="C24" s="96">
        <f t="shared" si="30"/>
        <v>3263592</v>
      </c>
      <c r="D24" s="157">
        <f t="shared" si="30"/>
        <v>3211584</v>
      </c>
      <c r="E24" s="157">
        <f t="shared" si="30"/>
        <v>26004</v>
      </c>
      <c r="F24" s="157">
        <f t="shared" si="30"/>
        <v>26004</v>
      </c>
      <c r="G24" s="96">
        <f t="shared" si="30"/>
        <v>8692710</v>
      </c>
      <c r="H24" s="157">
        <f t="shared" si="30"/>
        <v>8056020</v>
      </c>
      <c r="I24" s="157">
        <f t="shared" si="30"/>
        <v>318345</v>
      </c>
      <c r="J24" s="157">
        <f t="shared" si="30"/>
        <v>318345</v>
      </c>
      <c r="K24" s="118">
        <f t="shared" si="30"/>
        <v>3348376.68</v>
      </c>
      <c r="L24" s="106">
        <v>0.22</v>
      </c>
      <c r="M24" s="111">
        <f t="shared" si="30"/>
        <v>28888</v>
      </c>
      <c r="N24" s="20">
        <f>SUM(N22:N23)</f>
        <v>8880</v>
      </c>
      <c r="O24" s="20">
        <f>SUM(O22:O23)</f>
        <v>15750</v>
      </c>
      <c r="P24" s="20">
        <f>SUM(P22:P23)</f>
        <v>2558</v>
      </c>
      <c r="Q24" s="50">
        <f>SUM(Q22:Q23)</f>
        <v>1700</v>
      </c>
      <c r="R24" s="118">
        <f t="shared" si="30"/>
        <v>888808.47</v>
      </c>
      <c r="S24" s="52">
        <f t="shared" si="30"/>
        <v>418690</v>
      </c>
      <c r="T24" s="52"/>
      <c r="U24" s="52">
        <f t="shared" si="30"/>
        <v>19175</v>
      </c>
      <c r="V24" s="52">
        <f t="shared" si="30"/>
        <v>258100</v>
      </c>
      <c r="W24" s="96">
        <f t="shared" si="30"/>
        <v>114735.708</v>
      </c>
      <c r="X24" s="21">
        <f>SUM(X22:X23)</f>
        <v>30500</v>
      </c>
      <c r="Y24" s="21"/>
      <c r="Z24" s="21">
        <f>SUM(Z22:Z23)</f>
        <v>3478.708</v>
      </c>
      <c r="AA24" s="37">
        <f>SUM(AA22:AA23)</f>
        <v>5200</v>
      </c>
      <c r="AB24" s="37">
        <f t="shared" si="30"/>
        <v>5100</v>
      </c>
      <c r="AC24" s="37">
        <f t="shared" si="30"/>
        <v>48000</v>
      </c>
      <c r="AD24" s="37">
        <f t="shared" si="30"/>
        <v>1500</v>
      </c>
      <c r="AE24" s="37">
        <f t="shared" si="30"/>
        <v>18500</v>
      </c>
      <c r="AF24" s="37">
        <f t="shared" si="30"/>
        <v>1500</v>
      </c>
      <c r="AG24" s="37">
        <f aca="true" t="shared" si="31" ref="AG24:AO24">SUM(AG22:AG23)</f>
        <v>0</v>
      </c>
      <c r="AH24" s="37">
        <f t="shared" si="31"/>
        <v>0</v>
      </c>
      <c r="AI24" s="37">
        <f t="shared" si="31"/>
        <v>0</v>
      </c>
      <c r="AJ24" s="37">
        <f t="shared" si="31"/>
        <v>0</v>
      </c>
      <c r="AK24" s="37">
        <f t="shared" si="31"/>
        <v>0</v>
      </c>
      <c r="AL24" s="37">
        <f t="shared" si="31"/>
        <v>0</v>
      </c>
      <c r="AM24" s="37">
        <f t="shared" si="31"/>
        <v>0</v>
      </c>
      <c r="AN24" s="37">
        <f t="shared" si="31"/>
        <v>0</v>
      </c>
      <c r="AO24" s="37">
        <f t="shared" si="31"/>
        <v>0</v>
      </c>
      <c r="AP24" s="37">
        <f t="shared" si="30"/>
        <v>0</v>
      </c>
      <c r="AQ24" s="37">
        <f t="shared" si="30"/>
        <v>0</v>
      </c>
      <c r="AR24" s="37">
        <f t="shared" si="30"/>
        <v>0</v>
      </c>
      <c r="AS24" s="37">
        <f t="shared" si="30"/>
        <v>0</v>
      </c>
      <c r="AT24" s="58">
        <f t="shared" si="30"/>
        <v>957</v>
      </c>
      <c r="AU24" s="118">
        <f t="shared" si="30"/>
        <v>15000</v>
      </c>
      <c r="AV24" s="96">
        <f t="shared" si="30"/>
        <v>2636621</v>
      </c>
      <c r="AW24" s="19">
        <f t="shared" si="30"/>
        <v>10000</v>
      </c>
      <c r="AX24" s="19">
        <f t="shared" si="30"/>
        <v>404712</v>
      </c>
      <c r="AY24" s="32">
        <f t="shared" si="30"/>
        <v>2221909</v>
      </c>
      <c r="AZ24" s="132">
        <f t="shared" si="30"/>
        <v>2422.24</v>
      </c>
      <c r="BA24" s="133">
        <f t="shared" si="30"/>
        <v>1153.8500000000001</v>
      </c>
      <c r="BB24" s="170">
        <f t="shared" si="30"/>
        <v>22255899.948</v>
      </c>
    </row>
  </sheetData>
  <sheetProtection/>
  <printOptions/>
  <pageMargins left="0.1968503937007874" right="0.1968503937007874" top="0" bottom="0" header="0.5118110236220472" footer="0.5118110236220472"/>
  <pageSetup fitToWidth="2" horizontalDpi="600" verticalDpi="600" orientation="landscape" paperSize="9" scale="55" r:id="rId1"/>
  <colBreaks count="1" manualBreakCount="1">
    <brk id="34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05"/>
  <sheetViews>
    <sheetView tabSelected="1" view="pageBreakPreview" zoomScale="80" zoomScaleSheetLayoutView="80" workbookViewId="0" topLeftCell="A1">
      <pane xSplit="2" ySplit="6" topLeftCell="C7" activePane="bottomRight" state="frozen"/>
      <selection pane="topLeft" activeCell="G73" sqref="G73"/>
      <selection pane="topRight" activeCell="G73" sqref="G73"/>
      <selection pane="bottomLeft" activeCell="G73" sqref="G73"/>
      <selection pane="bottomRight" activeCell="A36" sqref="A36:IV36"/>
    </sheetView>
  </sheetViews>
  <sheetFormatPr defaultColWidth="9.00390625" defaultRowHeight="12.75"/>
  <cols>
    <col min="1" max="1" width="6.125" style="177" customWidth="1"/>
    <col min="2" max="2" width="57.625" style="183" customWidth="1"/>
    <col min="3" max="9" width="15.25390625" style="238" customWidth="1"/>
    <col min="10" max="10" width="15.25390625" style="242" customWidth="1"/>
    <col min="11" max="11" width="9.875" style="242" bestFit="1" customWidth="1"/>
    <col min="12" max="26" width="9.125" style="242" customWidth="1"/>
  </cols>
  <sheetData>
    <row r="1" spans="1:10" ht="21.75" customHeight="1">
      <c r="A1" s="332" t="s">
        <v>196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21.75" customHeight="1">
      <c r="A2" s="332" t="s">
        <v>131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2:10" ht="22.5" customHeight="1" thickBot="1">
      <c r="B3" s="241"/>
      <c r="C3" s="241"/>
      <c r="D3" s="241"/>
      <c r="E3" s="241"/>
      <c r="J3" s="246" t="s">
        <v>121</v>
      </c>
    </row>
    <row r="4" spans="1:26" s="179" customFormat="1" ht="36" customHeight="1">
      <c r="A4" s="326" t="s">
        <v>67</v>
      </c>
      <c r="B4" s="328" t="s">
        <v>148</v>
      </c>
      <c r="C4" s="330" t="s">
        <v>122</v>
      </c>
      <c r="D4" s="322" t="s">
        <v>123</v>
      </c>
      <c r="E4" s="322" t="s">
        <v>124</v>
      </c>
      <c r="F4" s="322" t="s">
        <v>125</v>
      </c>
      <c r="G4" s="333" t="s">
        <v>126</v>
      </c>
      <c r="H4" s="322" t="s">
        <v>127</v>
      </c>
      <c r="I4" s="322" t="s">
        <v>128</v>
      </c>
      <c r="J4" s="333" t="s">
        <v>129</v>
      </c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</row>
    <row r="5" spans="1:26" s="179" customFormat="1" ht="24" customHeight="1" thickBot="1">
      <c r="A5" s="327"/>
      <c r="B5" s="329"/>
      <c r="C5" s="331"/>
      <c r="D5" s="323"/>
      <c r="E5" s="323"/>
      <c r="F5" s="323"/>
      <c r="G5" s="334"/>
      <c r="H5" s="323"/>
      <c r="I5" s="323"/>
      <c r="J5" s="334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</row>
    <row r="6" spans="1:26" s="189" customFormat="1" ht="15" customHeight="1" thickBot="1">
      <c r="A6" s="271">
        <v>1</v>
      </c>
      <c r="B6" s="268">
        <v>1</v>
      </c>
      <c r="C6" s="312">
        <v>3</v>
      </c>
      <c r="D6" s="313">
        <v>4</v>
      </c>
      <c r="E6" s="313">
        <v>5</v>
      </c>
      <c r="F6" s="313">
        <v>6</v>
      </c>
      <c r="G6" s="313">
        <v>7</v>
      </c>
      <c r="H6" s="313">
        <v>8</v>
      </c>
      <c r="I6" s="313">
        <v>7</v>
      </c>
      <c r="J6" s="313">
        <v>7</v>
      </c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</row>
    <row r="7" spans="1:26" s="240" customFormat="1" ht="17.25" customHeight="1">
      <c r="A7" s="283">
        <v>2111</v>
      </c>
      <c r="B7" s="284" t="s">
        <v>73</v>
      </c>
      <c r="C7" s="269">
        <f aca="true" t="shared" si="0" ref="C7:I7">C8+C10</f>
        <v>2582796</v>
      </c>
      <c r="D7" s="269">
        <f t="shared" si="0"/>
        <v>2860670.98</v>
      </c>
      <c r="E7" s="269">
        <f t="shared" si="0"/>
        <v>2860670.98</v>
      </c>
      <c r="F7" s="269">
        <f t="shared" si="0"/>
        <v>2860669.83</v>
      </c>
      <c r="G7" s="269">
        <f t="shared" si="0"/>
        <v>0</v>
      </c>
      <c r="H7" s="269">
        <f t="shared" si="0"/>
        <v>1.150000000023283</v>
      </c>
      <c r="I7" s="269">
        <f t="shared" si="0"/>
        <v>1.150000000023283</v>
      </c>
      <c r="J7" s="285">
        <f aca="true" t="shared" si="1" ref="J7:J47">(F7+G7)/E7%</f>
        <v>99.99995979964113</v>
      </c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6" s="231" customFormat="1" ht="17.25" customHeight="1">
      <c r="A8" s="261"/>
      <c r="B8" s="310" t="s">
        <v>111</v>
      </c>
      <c r="C8" s="260">
        <f aca="true" t="shared" si="2" ref="C8:I8">C9</f>
        <v>2273000</v>
      </c>
      <c r="D8" s="260">
        <f t="shared" si="2"/>
        <v>2241057.98</v>
      </c>
      <c r="E8" s="260">
        <f t="shared" si="2"/>
        <v>2241057.98</v>
      </c>
      <c r="F8" s="260">
        <f t="shared" si="2"/>
        <v>2241057.98</v>
      </c>
      <c r="G8" s="260">
        <f t="shared" si="2"/>
        <v>0</v>
      </c>
      <c r="H8" s="260">
        <f t="shared" si="2"/>
        <v>0</v>
      </c>
      <c r="I8" s="260">
        <f t="shared" si="2"/>
        <v>0</v>
      </c>
      <c r="J8" s="290">
        <f t="shared" si="1"/>
        <v>100</v>
      </c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</row>
    <row r="9" spans="1:26" s="231" customFormat="1" ht="17.25" customHeight="1">
      <c r="A9" s="192"/>
      <c r="B9" s="274" t="s">
        <v>12</v>
      </c>
      <c r="C9" s="249">
        <v>2273000</v>
      </c>
      <c r="D9" s="249">
        <v>2241057.98</v>
      </c>
      <c r="E9" s="249">
        <v>2241057.98</v>
      </c>
      <c r="F9" s="249">
        <v>2241057.98</v>
      </c>
      <c r="G9" s="249"/>
      <c r="H9" s="249">
        <f>E9-F9-G9</f>
        <v>0</v>
      </c>
      <c r="I9" s="249">
        <f>D9-F9-G9</f>
        <v>0</v>
      </c>
      <c r="J9" s="286">
        <f t="shared" si="1"/>
        <v>100</v>
      </c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</row>
    <row r="10" spans="1:26" s="231" customFormat="1" ht="17.25" customHeight="1">
      <c r="A10" s="192"/>
      <c r="B10" s="311" t="s">
        <v>112</v>
      </c>
      <c r="C10" s="249">
        <v>309796</v>
      </c>
      <c r="D10" s="249">
        <v>619613</v>
      </c>
      <c r="E10" s="249">
        <v>619613</v>
      </c>
      <c r="F10" s="249">
        <v>619611.85</v>
      </c>
      <c r="G10" s="249"/>
      <c r="H10" s="249">
        <f>E10-F10-G10</f>
        <v>1.150000000023283</v>
      </c>
      <c r="I10" s="249">
        <f>D10-F10-G10</f>
        <v>1.150000000023283</v>
      </c>
      <c r="J10" s="286">
        <f t="shared" si="1"/>
        <v>99.99981440027888</v>
      </c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</row>
    <row r="11" spans="1:26" s="240" customFormat="1" ht="17.25" customHeight="1">
      <c r="A11" s="248">
        <v>2120</v>
      </c>
      <c r="B11" s="272" t="s">
        <v>113</v>
      </c>
      <c r="C11" s="273">
        <f aca="true" t="shared" si="3" ref="C11:I11">C12+C13</f>
        <v>543555</v>
      </c>
      <c r="D11" s="273">
        <f t="shared" si="3"/>
        <v>638618.02</v>
      </c>
      <c r="E11" s="273">
        <f t="shared" si="3"/>
        <v>638618.02</v>
      </c>
      <c r="F11" s="273">
        <f t="shared" si="3"/>
        <v>638617.04</v>
      </c>
      <c r="G11" s="273">
        <f t="shared" si="3"/>
        <v>0</v>
      </c>
      <c r="H11" s="273">
        <f t="shared" si="3"/>
        <v>0.9800000000104774</v>
      </c>
      <c r="I11" s="273">
        <f t="shared" si="3"/>
        <v>0.9800000000104774</v>
      </c>
      <c r="J11" s="287">
        <f t="shared" si="1"/>
        <v>99.99984654363497</v>
      </c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 spans="1:26" s="231" customFormat="1" ht="17.25" customHeight="1">
      <c r="A12" s="261"/>
      <c r="B12" s="310" t="s">
        <v>111</v>
      </c>
      <c r="C12" s="260">
        <v>475400</v>
      </c>
      <c r="D12" s="260">
        <v>497226.02</v>
      </c>
      <c r="E12" s="260">
        <v>497226.02</v>
      </c>
      <c r="F12" s="260">
        <v>497226.02</v>
      </c>
      <c r="G12" s="260"/>
      <c r="H12" s="260">
        <f>E12-F12-G12</f>
        <v>0</v>
      </c>
      <c r="I12" s="260">
        <f>D12-F12-G12</f>
        <v>0</v>
      </c>
      <c r="J12" s="290">
        <f t="shared" si="1"/>
        <v>99.99999999999999</v>
      </c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</row>
    <row r="13" spans="1:26" s="231" customFormat="1" ht="17.25" customHeight="1">
      <c r="A13" s="192"/>
      <c r="B13" s="311" t="s">
        <v>112</v>
      </c>
      <c r="C13" s="249">
        <v>68155</v>
      </c>
      <c r="D13" s="249">
        <v>141392</v>
      </c>
      <c r="E13" s="249">
        <f>D13</f>
        <v>141392</v>
      </c>
      <c r="F13" s="249">
        <v>141391.02</v>
      </c>
      <c r="G13" s="249"/>
      <c r="H13" s="249">
        <f>E13-F13-G13</f>
        <v>0.9800000000104774</v>
      </c>
      <c r="I13" s="249">
        <f>D13-F13-G13</f>
        <v>0.9800000000104774</v>
      </c>
      <c r="J13" s="286">
        <f t="shared" si="1"/>
        <v>99.999306891479</v>
      </c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</row>
    <row r="14" spans="1:26" s="240" customFormat="1" ht="17.25" customHeight="1">
      <c r="A14" s="248">
        <v>2210</v>
      </c>
      <c r="B14" s="272" t="s">
        <v>74</v>
      </c>
      <c r="C14" s="273">
        <f aca="true" t="shared" si="4" ref="C14:I14">SUM(C15:C47)</f>
        <v>85100</v>
      </c>
      <c r="D14" s="273">
        <f t="shared" si="4"/>
        <v>267652.26</v>
      </c>
      <c r="E14" s="273">
        <f t="shared" si="4"/>
        <v>267652.26</v>
      </c>
      <c r="F14" s="273">
        <f t="shared" si="4"/>
        <v>267651.07</v>
      </c>
      <c r="G14" s="273">
        <f t="shared" si="4"/>
        <v>0</v>
      </c>
      <c r="H14" s="273">
        <f t="shared" si="4"/>
        <v>1.1900000000023283</v>
      </c>
      <c r="I14" s="273">
        <f t="shared" si="4"/>
        <v>1.190000000002442</v>
      </c>
      <c r="J14" s="287">
        <f t="shared" si="1"/>
        <v>99.9995553932554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 spans="1:26" s="240" customFormat="1" ht="17.25" customHeight="1">
      <c r="A15" s="251"/>
      <c r="B15" s="274" t="s">
        <v>134</v>
      </c>
      <c r="C15" s="249">
        <v>5500</v>
      </c>
      <c r="D15" s="249">
        <f>5500-730-412.84</f>
        <v>4357.16</v>
      </c>
      <c r="E15" s="249">
        <f>5500-730-412.84</f>
        <v>4357.16</v>
      </c>
      <c r="F15" s="249">
        <v>4357.16</v>
      </c>
      <c r="G15" s="275"/>
      <c r="H15" s="249">
        <f aca="true" t="shared" si="5" ref="H15:H47">E15-F15-G15</f>
        <v>0</v>
      </c>
      <c r="I15" s="249">
        <f aca="true" t="shared" si="6" ref="I15:I47">D15-F15-G15</f>
        <v>0</v>
      </c>
      <c r="J15" s="286">
        <f t="shared" si="1"/>
        <v>100</v>
      </c>
      <c r="K15" s="256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 spans="1:10" s="185" customFormat="1" ht="17.25" customHeight="1">
      <c r="A16" s="195"/>
      <c r="B16" s="274" t="s">
        <v>117</v>
      </c>
      <c r="C16" s="249">
        <v>900</v>
      </c>
      <c r="D16" s="249">
        <f>900+100</f>
        <v>1000</v>
      </c>
      <c r="E16" s="249">
        <f>900+100</f>
        <v>1000</v>
      </c>
      <c r="F16" s="249">
        <v>1000</v>
      </c>
      <c r="G16" s="249"/>
      <c r="H16" s="249">
        <f t="shared" si="5"/>
        <v>0</v>
      </c>
      <c r="I16" s="249">
        <f t="shared" si="6"/>
        <v>0</v>
      </c>
      <c r="J16" s="286">
        <f t="shared" si="1"/>
        <v>100</v>
      </c>
    </row>
    <row r="17" spans="1:10" s="185" customFormat="1" ht="17.25" customHeight="1">
      <c r="A17" s="195"/>
      <c r="B17" s="274" t="s">
        <v>188</v>
      </c>
      <c r="C17" s="249"/>
      <c r="D17" s="249">
        <v>930</v>
      </c>
      <c r="E17" s="249">
        <v>930</v>
      </c>
      <c r="F17" s="249">
        <v>930</v>
      </c>
      <c r="G17" s="249"/>
      <c r="H17" s="249">
        <f t="shared" si="5"/>
        <v>0</v>
      </c>
      <c r="I17" s="249">
        <f t="shared" si="6"/>
        <v>0</v>
      </c>
      <c r="J17" s="286">
        <f t="shared" si="1"/>
        <v>99.99999999999999</v>
      </c>
    </row>
    <row r="18" spans="1:10" s="185" customFormat="1" ht="17.25" customHeight="1">
      <c r="A18" s="195"/>
      <c r="B18" s="274" t="s">
        <v>164</v>
      </c>
      <c r="C18" s="249">
        <v>2500</v>
      </c>
      <c r="D18" s="249">
        <f>2500+730+970+2056+2417</f>
        <v>8673</v>
      </c>
      <c r="E18" s="249">
        <f>2500+730+970+2056+2417</f>
        <v>8673</v>
      </c>
      <c r="F18" s="249">
        <f>2500+730+970+2056+2417</f>
        <v>8673</v>
      </c>
      <c r="G18" s="249"/>
      <c r="H18" s="249">
        <f t="shared" si="5"/>
        <v>0</v>
      </c>
      <c r="I18" s="249">
        <f t="shared" si="6"/>
        <v>0</v>
      </c>
      <c r="J18" s="286">
        <f t="shared" si="1"/>
        <v>100</v>
      </c>
    </row>
    <row r="19" spans="1:10" s="185" customFormat="1" ht="17.25" customHeight="1">
      <c r="A19" s="195"/>
      <c r="B19" s="274" t="s">
        <v>173</v>
      </c>
      <c r="C19" s="249"/>
      <c r="D19" s="249">
        <f>12800-D20-D21-355</f>
        <v>6861</v>
      </c>
      <c r="E19" s="249">
        <f>12800-E20-E21-355</f>
        <v>6861</v>
      </c>
      <c r="F19" s="249">
        <v>6861</v>
      </c>
      <c r="G19" s="249"/>
      <c r="H19" s="249">
        <f t="shared" si="5"/>
        <v>0</v>
      </c>
      <c r="I19" s="249">
        <f t="shared" si="6"/>
        <v>0</v>
      </c>
      <c r="J19" s="286">
        <f t="shared" si="1"/>
        <v>100</v>
      </c>
    </row>
    <row r="20" spans="1:10" s="185" customFormat="1" ht="17.25" customHeight="1">
      <c r="A20" s="195"/>
      <c r="B20" s="274" t="s">
        <v>179</v>
      </c>
      <c r="C20" s="249"/>
      <c r="D20" s="249">
        <v>2800</v>
      </c>
      <c r="E20" s="249">
        <v>2800</v>
      </c>
      <c r="F20" s="249">
        <v>2800</v>
      </c>
      <c r="G20" s="249"/>
      <c r="H20" s="249">
        <f t="shared" si="5"/>
        <v>0</v>
      </c>
      <c r="I20" s="249">
        <f t="shared" si="6"/>
        <v>0</v>
      </c>
      <c r="J20" s="286">
        <f t="shared" si="1"/>
        <v>100</v>
      </c>
    </row>
    <row r="21" spans="1:10" s="185" customFormat="1" ht="17.25" customHeight="1">
      <c r="A21" s="195"/>
      <c r="B21" s="274" t="s">
        <v>180</v>
      </c>
      <c r="C21" s="249"/>
      <c r="D21" s="249">
        <v>2784</v>
      </c>
      <c r="E21" s="249">
        <v>2784</v>
      </c>
      <c r="F21" s="249">
        <v>2784</v>
      </c>
      <c r="G21" s="249"/>
      <c r="H21" s="249">
        <f t="shared" si="5"/>
        <v>0</v>
      </c>
      <c r="I21" s="249">
        <f t="shared" si="6"/>
        <v>0</v>
      </c>
      <c r="J21" s="286">
        <f t="shared" si="1"/>
        <v>100</v>
      </c>
    </row>
    <row r="22" spans="1:26" s="179" customFormat="1" ht="17.25" customHeight="1">
      <c r="A22" s="192"/>
      <c r="B22" s="274" t="s">
        <v>135</v>
      </c>
      <c r="C22" s="249">
        <v>400</v>
      </c>
      <c r="D22" s="249">
        <f>400+20.5</f>
        <v>420.5</v>
      </c>
      <c r="E22" s="249">
        <f>400+20.5</f>
        <v>420.5</v>
      </c>
      <c r="F22" s="249">
        <v>420.5</v>
      </c>
      <c r="G22" s="249"/>
      <c r="H22" s="249">
        <f t="shared" si="5"/>
        <v>0</v>
      </c>
      <c r="I22" s="249">
        <f t="shared" si="6"/>
        <v>0</v>
      </c>
      <c r="J22" s="286">
        <f t="shared" si="1"/>
        <v>100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</row>
    <row r="23" spans="1:26" s="179" customFormat="1" ht="17.25" customHeight="1">
      <c r="A23" s="192"/>
      <c r="B23" s="274" t="s">
        <v>75</v>
      </c>
      <c r="C23" s="249">
        <v>2000</v>
      </c>
      <c r="D23" s="249">
        <f>2000-105.92-930+581.84+92.5+361.58+32.04+0.23+820.92-32.27</f>
        <v>2820.92</v>
      </c>
      <c r="E23" s="249">
        <v>2820.92</v>
      </c>
      <c r="F23" s="249">
        <v>2820.92</v>
      </c>
      <c r="G23" s="249"/>
      <c r="H23" s="249">
        <f t="shared" si="5"/>
        <v>0</v>
      </c>
      <c r="I23" s="249">
        <f t="shared" si="6"/>
        <v>0</v>
      </c>
      <c r="J23" s="286">
        <f t="shared" si="1"/>
        <v>100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</row>
    <row r="24" spans="1:26" s="179" customFormat="1" ht="17.25" customHeight="1">
      <c r="A24" s="192"/>
      <c r="B24" s="302" t="s">
        <v>181</v>
      </c>
      <c r="C24" s="249"/>
      <c r="D24" s="249">
        <v>2987</v>
      </c>
      <c r="E24" s="249">
        <v>2987</v>
      </c>
      <c r="F24" s="249">
        <v>2987</v>
      </c>
      <c r="G24" s="249"/>
      <c r="H24" s="249">
        <f t="shared" si="5"/>
        <v>0</v>
      </c>
      <c r="I24" s="249">
        <f t="shared" si="6"/>
        <v>0</v>
      </c>
      <c r="J24" s="286">
        <f t="shared" si="1"/>
        <v>100</v>
      </c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</row>
    <row r="25" spans="1:26" s="179" customFormat="1" ht="17.25" customHeight="1">
      <c r="A25" s="192"/>
      <c r="B25" s="274" t="s">
        <v>183</v>
      </c>
      <c r="C25" s="249"/>
      <c r="D25" s="249">
        <f>105.92+91+360+460</f>
        <v>1016.9200000000001</v>
      </c>
      <c r="E25" s="249">
        <f>196.92+360+460</f>
        <v>1016.92</v>
      </c>
      <c r="F25" s="249">
        <f>196.92+360+460</f>
        <v>1016.92</v>
      </c>
      <c r="G25" s="249"/>
      <c r="H25" s="249">
        <f t="shared" si="5"/>
        <v>0</v>
      </c>
      <c r="I25" s="249">
        <f t="shared" si="6"/>
        <v>1.1368683772161603E-13</v>
      </c>
      <c r="J25" s="286">
        <f t="shared" si="1"/>
        <v>100</v>
      </c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</row>
    <row r="26" spans="1:26" s="179" customFormat="1" ht="17.25" customHeight="1">
      <c r="A26" s="264"/>
      <c r="B26" s="278" t="s">
        <v>186</v>
      </c>
      <c r="C26" s="259"/>
      <c r="D26" s="259">
        <v>4100</v>
      </c>
      <c r="E26" s="259">
        <v>4100</v>
      </c>
      <c r="F26" s="259">
        <v>4100</v>
      </c>
      <c r="G26" s="259"/>
      <c r="H26" s="259">
        <f t="shared" si="5"/>
        <v>0</v>
      </c>
      <c r="I26" s="259">
        <f t="shared" si="6"/>
        <v>0</v>
      </c>
      <c r="J26" s="289">
        <f t="shared" si="1"/>
        <v>100</v>
      </c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</row>
    <row r="27" spans="1:26" s="179" customFormat="1" ht="17.25" customHeight="1">
      <c r="A27" s="192"/>
      <c r="B27" s="274" t="s">
        <v>184</v>
      </c>
      <c r="C27" s="249"/>
      <c r="D27" s="249">
        <v>2040</v>
      </c>
      <c r="E27" s="249">
        <v>2040</v>
      </c>
      <c r="F27" s="249">
        <v>2040</v>
      </c>
      <c r="G27" s="249"/>
      <c r="H27" s="249">
        <f t="shared" si="5"/>
        <v>0</v>
      </c>
      <c r="I27" s="249">
        <f t="shared" si="6"/>
        <v>0</v>
      </c>
      <c r="J27" s="286">
        <f t="shared" si="1"/>
        <v>100</v>
      </c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</row>
    <row r="28" spans="1:26" s="179" customFormat="1" ht="17.25" customHeight="1">
      <c r="A28" s="264"/>
      <c r="B28" s="278" t="s">
        <v>185</v>
      </c>
      <c r="C28" s="259"/>
      <c r="D28" s="259">
        <v>10900</v>
      </c>
      <c r="E28" s="259">
        <v>10900</v>
      </c>
      <c r="F28" s="259">
        <v>10900</v>
      </c>
      <c r="G28" s="259"/>
      <c r="H28" s="259">
        <f t="shared" si="5"/>
        <v>0</v>
      </c>
      <c r="I28" s="259">
        <f t="shared" si="6"/>
        <v>0</v>
      </c>
      <c r="J28" s="289">
        <f t="shared" si="1"/>
        <v>100</v>
      </c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</row>
    <row r="29" spans="1:26" s="179" customFormat="1" ht="17.25" customHeight="1">
      <c r="A29" s="192"/>
      <c r="B29" s="274" t="s">
        <v>195</v>
      </c>
      <c r="C29" s="249"/>
      <c r="D29" s="249">
        <f>7277-820.92+32.27+412.84</f>
        <v>6901.1900000000005</v>
      </c>
      <c r="E29" s="249">
        <f>7277-820.92+32.27+412.84</f>
        <v>6901.1900000000005</v>
      </c>
      <c r="F29" s="249">
        <v>6900</v>
      </c>
      <c r="G29" s="249"/>
      <c r="H29" s="249">
        <f t="shared" si="5"/>
        <v>1.1900000000005093</v>
      </c>
      <c r="I29" s="249">
        <f t="shared" si="6"/>
        <v>1.1900000000005093</v>
      </c>
      <c r="J29" s="298">
        <f t="shared" si="1"/>
        <v>99.98275659705064</v>
      </c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</row>
    <row r="30" spans="1:26" s="179" customFormat="1" ht="17.25" customHeight="1">
      <c r="A30" s="192"/>
      <c r="B30" s="276" t="s">
        <v>163</v>
      </c>
      <c r="C30" s="249">
        <v>5000</v>
      </c>
      <c r="D30" s="249">
        <f>5000-970-2056-20.5-100-581.84+7748.9+412-0.23</f>
        <v>9432.33</v>
      </c>
      <c r="E30" s="249">
        <f>5000-970-2056-20.5-100-581.84+7748.9+412-0.23</f>
        <v>9432.33</v>
      </c>
      <c r="F30" s="249">
        <v>9432.33</v>
      </c>
      <c r="G30" s="249"/>
      <c r="H30" s="249">
        <f t="shared" si="5"/>
        <v>0</v>
      </c>
      <c r="I30" s="249">
        <f t="shared" si="6"/>
        <v>0</v>
      </c>
      <c r="J30" s="286">
        <f t="shared" si="1"/>
        <v>100</v>
      </c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</row>
    <row r="31" spans="1:26" s="179" customFormat="1" ht="17.25" customHeight="1">
      <c r="A31" s="192"/>
      <c r="B31" s="274" t="s">
        <v>136</v>
      </c>
      <c r="C31" s="249">
        <f>65800</f>
        <v>65800</v>
      </c>
      <c r="D31" s="249">
        <f>65800+26945-92.5</f>
        <v>92652.5</v>
      </c>
      <c r="E31" s="249">
        <v>92652.5</v>
      </c>
      <c r="F31" s="249">
        <v>92652.5</v>
      </c>
      <c r="G31" s="249"/>
      <c r="H31" s="249">
        <f t="shared" si="5"/>
        <v>0</v>
      </c>
      <c r="I31" s="249">
        <f t="shared" si="6"/>
        <v>0</v>
      </c>
      <c r="J31" s="286">
        <f t="shared" si="1"/>
        <v>100</v>
      </c>
      <c r="K31" s="256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</row>
    <row r="32" spans="1:26" s="179" customFormat="1" ht="17.25" customHeight="1">
      <c r="A32" s="192"/>
      <c r="B32" s="274" t="s">
        <v>137</v>
      </c>
      <c r="C32" s="249">
        <v>3000</v>
      </c>
      <c r="D32" s="249">
        <f>3000-412-32.04</f>
        <v>2555.96</v>
      </c>
      <c r="E32" s="249">
        <f>3000-412-32.04</f>
        <v>2555.96</v>
      </c>
      <c r="F32" s="249">
        <v>2555.96</v>
      </c>
      <c r="G32" s="249"/>
      <c r="H32" s="249">
        <f t="shared" si="5"/>
        <v>0</v>
      </c>
      <c r="I32" s="249">
        <f t="shared" si="6"/>
        <v>0</v>
      </c>
      <c r="J32" s="286">
        <f t="shared" si="1"/>
        <v>100</v>
      </c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</row>
    <row r="33" spans="1:26" s="179" customFormat="1" ht="17.25" customHeight="1">
      <c r="A33" s="264"/>
      <c r="B33" s="304" t="s">
        <v>165</v>
      </c>
      <c r="C33" s="259"/>
      <c r="D33" s="259">
        <v>20000</v>
      </c>
      <c r="E33" s="259">
        <v>20000</v>
      </c>
      <c r="F33" s="259">
        <v>20000</v>
      </c>
      <c r="G33" s="259"/>
      <c r="H33" s="259">
        <f t="shared" si="5"/>
        <v>0</v>
      </c>
      <c r="I33" s="259">
        <f t="shared" si="6"/>
        <v>0</v>
      </c>
      <c r="J33" s="289">
        <f t="shared" si="1"/>
        <v>100</v>
      </c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</row>
    <row r="34" spans="1:26" s="179" customFormat="1" ht="17.25" customHeight="1">
      <c r="A34" s="264"/>
      <c r="B34" s="304" t="s">
        <v>177</v>
      </c>
      <c r="C34" s="259"/>
      <c r="D34" s="259">
        <f>10000+5080</f>
        <v>15080</v>
      </c>
      <c r="E34" s="259">
        <f>10000+5080</f>
        <v>15080</v>
      </c>
      <c r="F34" s="259">
        <f>9800+200+5080</f>
        <v>15080</v>
      </c>
      <c r="G34" s="259"/>
      <c r="H34" s="259">
        <f t="shared" si="5"/>
        <v>0</v>
      </c>
      <c r="I34" s="259">
        <f t="shared" si="6"/>
        <v>0</v>
      </c>
      <c r="J34" s="289">
        <f t="shared" si="1"/>
        <v>99.99999999999999</v>
      </c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</row>
    <row r="35" spans="1:26" s="179" customFormat="1" ht="17.25" customHeight="1">
      <c r="A35" s="314"/>
      <c r="B35" s="315" t="s">
        <v>176</v>
      </c>
      <c r="C35" s="316"/>
      <c r="D35" s="316">
        <v>355</v>
      </c>
      <c r="E35" s="316">
        <v>355</v>
      </c>
      <c r="F35" s="316">
        <v>355</v>
      </c>
      <c r="G35" s="316"/>
      <c r="H35" s="316">
        <f t="shared" si="5"/>
        <v>0</v>
      </c>
      <c r="I35" s="316">
        <f t="shared" si="6"/>
        <v>0</v>
      </c>
      <c r="J35" s="317">
        <f t="shared" si="1"/>
        <v>100</v>
      </c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</row>
    <row r="36" spans="1:26" s="179" customFormat="1" ht="17.25" customHeight="1" hidden="1">
      <c r="A36" s="314"/>
      <c r="B36" s="315" t="s">
        <v>166</v>
      </c>
      <c r="C36" s="316"/>
      <c r="D36" s="316">
        <f>23624.58-D40-D41-D47-D46-D35-D37</f>
        <v>1.8189894035458565E-12</v>
      </c>
      <c r="E36" s="316">
        <f>23624.58-E40-E41-E47-E46-E35-E37</f>
        <v>1.8189894035458565E-12</v>
      </c>
      <c r="F36" s="316"/>
      <c r="G36" s="316"/>
      <c r="H36" s="316">
        <f t="shared" si="5"/>
        <v>1.8189894035458565E-12</v>
      </c>
      <c r="I36" s="316">
        <f t="shared" si="6"/>
        <v>1.8189894035458565E-12</v>
      </c>
      <c r="J36" s="317">
        <f t="shared" si="1"/>
        <v>0</v>
      </c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</row>
    <row r="37" spans="1:26" s="179" customFormat="1" ht="17.25" customHeight="1">
      <c r="A37" s="314"/>
      <c r="B37" s="315" t="s">
        <v>178</v>
      </c>
      <c r="C37" s="316"/>
      <c r="D37" s="316">
        <v>924</v>
      </c>
      <c r="E37" s="316">
        <v>924</v>
      </c>
      <c r="F37" s="316">
        <v>924</v>
      </c>
      <c r="G37" s="316"/>
      <c r="H37" s="316">
        <f t="shared" si="5"/>
        <v>0</v>
      </c>
      <c r="I37" s="316">
        <f t="shared" si="6"/>
        <v>0</v>
      </c>
      <c r="J37" s="317">
        <f t="shared" si="1"/>
        <v>100</v>
      </c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</row>
    <row r="38" spans="1:26" s="179" customFormat="1" ht="17.25" customHeight="1">
      <c r="A38" s="266"/>
      <c r="B38" s="309" t="s">
        <v>167</v>
      </c>
      <c r="C38" s="265"/>
      <c r="D38" s="265">
        <v>1368</v>
      </c>
      <c r="E38" s="265">
        <v>1368</v>
      </c>
      <c r="F38" s="265">
        <v>1368</v>
      </c>
      <c r="G38" s="265"/>
      <c r="H38" s="265">
        <f t="shared" si="5"/>
        <v>0</v>
      </c>
      <c r="I38" s="265">
        <f t="shared" si="6"/>
        <v>0</v>
      </c>
      <c r="J38" s="288">
        <f t="shared" si="1"/>
        <v>100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</row>
    <row r="39" spans="1:26" s="179" customFormat="1" ht="17.25" customHeight="1">
      <c r="A39" s="266"/>
      <c r="B39" s="309" t="s">
        <v>168</v>
      </c>
      <c r="C39" s="265"/>
      <c r="D39" s="265">
        <v>855</v>
      </c>
      <c r="E39" s="265">
        <v>855</v>
      </c>
      <c r="F39" s="265">
        <v>855</v>
      </c>
      <c r="G39" s="265"/>
      <c r="H39" s="265">
        <f t="shared" si="5"/>
        <v>0</v>
      </c>
      <c r="I39" s="265">
        <f t="shared" si="6"/>
        <v>0</v>
      </c>
      <c r="J39" s="288">
        <f t="shared" si="1"/>
        <v>99.99999999999999</v>
      </c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</row>
    <row r="40" spans="1:26" s="179" customFormat="1" ht="17.25" customHeight="1">
      <c r="A40" s="314"/>
      <c r="B40" s="315" t="s">
        <v>189</v>
      </c>
      <c r="C40" s="316"/>
      <c r="D40" s="316">
        <v>1450</v>
      </c>
      <c r="E40" s="316">
        <v>1450</v>
      </c>
      <c r="F40" s="316">
        <v>1450</v>
      </c>
      <c r="G40" s="316"/>
      <c r="H40" s="316">
        <f t="shared" si="5"/>
        <v>0</v>
      </c>
      <c r="I40" s="316">
        <f t="shared" si="6"/>
        <v>0</v>
      </c>
      <c r="J40" s="317">
        <f t="shared" si="1"/>
        <v>100</v>
      </c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</row>
    <row r="41" spans="1:26" s="179" customFormat="1" ht="17.25" customHeight="1">
      <c r="A41" s="314"/>
      <c r="B41" s="315" t="s">
        <v>190</v>
      </c>
      <c r="C41" s="316"/>
      <c r="D41" s="316">
        <v>15700</v>
      </c>
      <c r="E41" s="316">
        <v>15700</v>
      </c>
      <c r="F41" s="316">
        <v>15700</v>
      </c>
      <c r="G41" s="316"/>
      <c r="H41" s="316">
        <f t="shared" si="5"/>
        <v>0</v>
      </c>
      <c r="I41" s="316">
        <f t="shared" si="6"/>
        <v>0</v>
      </c>
      <c r="J41" s="317">
        <f t="shared" si="1"/>
        <v>100</v>
      </c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</row>
    <row r="42" spans="1:26" s="179" customFormat="1" ht="17.25" customHeight="1">
      <c r="A42" s="261"/>
      <c r="B42" s="308" t="s">
        <v>169</v>
      </c>
      <c r="C42" s="260"/>
      <c r="D42" s="260">
        <v>12313</v>
      </c>
      <c r="E42" s="260">
        <v>12313</v>
      </c>
      <c r="F42" s="260">
        <f>11300+1013</f>
        <v>12313</v>
      </c>
      <c r="G42" s="260"/>
      <c r="H42" s="260">
        <f t="shared" si="5"/>
        <v>0</v>
      </c>
      <c r="I42" s="260">
        <f t="shared" si="6"/>
        <v>0</v>
      </c>
      <c r="J42" s="290">
        <f t="shared" si="1"/>
        <v>100</v>
      </c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</row>
    <row r="43" spans="1:26" s="179" customFormat="1" ht="17.25" customHeight="1">
      <c r="A43" s="261"/>
      <c r="B43" s="308" t="s">
        <v>170</v>
      </c>
      <c r="C43" s="260"/>
      <c r="D43" s="260">
        <v>7695</v>
      </c>
      <c r="E43" s="260">
        <v>7695</v>
      </c>
      <c r="F43" s="260">
        <v>7695</v>
      </c>
      <c r="G43" s="260"/>
      <c r="H43" s="260">
        <f t="shared" si="5"/>
        <v>0</v>
      </c>
      <c r="I43" s="260">
        <f t="shared" si="6"/>
        <v>0</v>
      </c>
      <c r="J43" s="290">
        <f t="shared" si="1"/>
        <v>100</v>
      </c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</row>
    <row r="44" spans="1:26" s="179" customFormat="1" ht="17.25" customHeight="1">
      <c r="A44" s="261"/>
      <c r="B44" s="308" t="s">
        <v>174</v>
      </c>
      <c r="C44" s="260"/>
      <c r="D44" s="260">
        <v>3729</v>
      </c>
      <c r="E44" s="260">
        <v>3729</v>
      </c>
      <c r="F44" s="260">
        <v>3729</v>
      </c>
      <c r="G44" s="260"/>
      <c r="H44" s="260">
        <f t="shared" si="5"/>
        <v>0</v>
      </c>
      <c r="I44" s="260">
        <f t="shared" si="6"/>
        <v>0</v>
      </c>
      <c r="J44" s="290">
        <f t="shared" si="1"/>
        <v>100</v>
      </c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</row>
    <row r="45" spans="1:26" s="179" customFormat="1" ht="28.5" customHeight="1">
      <c r="A45" s="261"/>
      <c r="B45" s="308" t="s">
        <v>192</v>
      </c>
      <c r="C45" s="260"/>
      <c r="D45" s="260">
        <v>19755.2</v>
      </c>
      <c r="E45" s="260">
        <v>19755.2</v>
      </c>
      <c r="F45" s="260">
        <v>19755.2</v>
      </c>
      <c r="G45" s="260"/>
      <c r="H45" s="260">
        <f t="shared" si="5"/>
        <v>0</v>
      </c>
      <c r="I45" s="260">
        <f t="shared" si="6"/>
        <v>0</v>
      </c>
      <c r="J45" s="290">
        <f t="shared" si="1"/>
        <v>100</v>
      </c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</row>
    <row r="46" spans="1:26" s="179" customFormat="1" ht="17.25" customHeight="1">
      <c r="A46" s="314"/>
      <c r="B46" s="315" t="s">
        <v>175</v>
      </c>
      <c r="C46" s="316"/>
      <c r="D46" s="316">
        <v>405</v>
      </c>
      <c r="E46" s="316">
        <v>405</v>
      </c>
      <c r="F46" s="316">
        <v>405</v>
      </c>
      <c r="G46" s="316"/>
      <c r="H46" s="316">
        <f t="shared" si="5"/>
        <v>0</v>
      </c>
      <c r="I46" s="316">
        <f t="shared" si="6"/>
        <v>0</v>
      </c>
      <c r="J46" s="317">
        <f t="shared" si="1"/>
        <v>100</v>
      </c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</row>
    <row r="47" spans="1:10" s="300" customFormat="1" ht="17.25" customHeight="1">
      <c r="A47" s="318"/>
      <c r="B47" s="315" t="s">
        <v>182</v>
      </c>
      <c r="C47" s="316"/>
      <c r="D47" s="316">
        <f>1990+2997.5-196.92</f>
        <v>4790.58</v>
      </c>
      <c r="E47" s="316">
        <f>1990+2997.5-196.92</f>
        <v>4790.58</v>
      </c>
      <c r="F47" s="316">
        <f>1990+2997.5-196.92</f>
        <v>4790.58</v>
      </c>
      <c r="G47" s="316"/>
      <c r="H47" s="316">
        <f t="shared" si="5"/>
        <v>0</v>
      </c>
      <c r="I47" s="316">
        <f t="shared" si="6"/>
        <v>0</v>
      </c>
      <c r="J47" s="317">
        <f t="shared" si="1"/>
        <v>100</v>
      </c>
    </row>
    <row r="48" spans="1:10" s="185" customFormat="1" ht="17.25" customHeight="1">
      <c r="A48" s="248">
        <v>2230</v>
      </c>
      <c r="B48" s="272" t="s">
        <v>130</v>
      </c>
      <c r="C48" s="273">
        <f aca="true" t="shared" si="7" ref="C48:J48">C49</f>
        <v>63800</v>
      </c>
      <c r="D48" s="273">
        <f t="shared" si="7"/>
        <v>78800</v>
      </c>
      <c r="E48" s="273">
        <f t="shared" si="7"/>
        <v>78800</v>
      </c>
      <c r="F48" s="273">
        <f t="shared" si="7"/>
        <v>58765.13</v>
      </c>
      <c r="G48" s="273">
        <f t="shared" si="7"/>
        <v>0</v>
      </c>
      <c r="H48" s="273">
        <f t="shared" si="7"/>
        <v>20034.870000000003</v>
      </c>
      <c r="I48" s="273">
        <f t="shared" si="7"/>
        <v>20034.870000000003</v>
      </c>
      <c r="J48" s="303">
        <f t="shared" si="7"/>
        <v>74.57503807106599</v>
      </c>
    </row>
    <row r="49" spans="1:10" s="185" customFormat="1" ht="17.25" customHeight="1">
      <c r="A49" s="248"/>
      <c r="B49" s="272" t="s">
        <v>105</v>
      </c>
      <c r="C49" s="273">
        <f aca="true" t="shared" si="8" ref="C49:I49">SUM(C50:C53)</f>
        <v>63800</v>
      </c>
      <c r="D49" s="273">
        <f t="shared" si="8"/>
        <v>78800</v>
      </c>
      <c r="E49" s="273">
        <f t="shared" si="8"/>
        <v>78800</v>
      </c>
      <c r="F49" s="273">
        <f t="shared" si="8"/>
        <v>58765.13</v>
      </c>
      <c r="G49" s="273">
        <f t="shared" si="8"/>
        <v>0</v>
      </c>
      <c r="H49" s="273">
        <f t="shared" si="8"/>
        <v>20034.870000000003</v>
      </c>
      <c r="I49" s="273">
        <f t="shared" si="8"/>
        <v>20034.870000000003</v>
      </c>
      <c r="J49" s="287">
        <f aca="true" t="shared" si="9" ref="J49:J95">(F49+G49)/E49%</f>
        <v>74.57503807106599</v>
      </c>
    </row>
    <row r="50" spans="1:26" s="240" customFormat="1" ht="17.25" customHeight="1">
      <c r="A50" s="195"/>
      <c r="B50" s="280" t="s">
        <v>114</v>
      </c>
      <c r="C50" s="249">
        <v>17810</v>
      </c>
      <c r="D50" s="249">
        <v>29530.59</v>
      </c>
      <c r="E50" s="249">
        <v>29530.59</v>
      </c>
      <c r="F50" s="249">
        <f>27837.05+1188</f>
        <v>29025.05</v>
      </c>
      <c r="G50" s="249"/>
      <c r="H50" s="249">
        <f>E50-F50-G50</f>
        <v>505.5400000000009</v>
      </c>
      <c r="I50" s="249">
        <f>D50-F50-G50</f>
        <v>505.5400000000009</v>
      </c>
      <c r="J50" s="286">
        <f t="shared" si="9"/>
        <v>98.28808025847096</v>
      </c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</row>
    <row r="51" spans="1:10" s="185" customFormat="1" ht="17.25" customHeight="1">
      <c r="A51" s="195"/>
      <c r="B51" s="280" t="s">
        <v>103</v>
      </c>
      <c r="C51" s="249">
        <v>30240</v>
      </c>
      <c r="D51" s="249">
        <v>30240</v>
      </c>
      <c r="E51" s="249">
        <v>30240</v>
      </c>
      <c r="F51" s="249">
        <f>9873.67+837</f>
        <v>10710.67</v>
      </c>
      <c r="G51" s="249"/>
      <c r="H51" s="249">
        <f>E51-F51-G51</f>
        <v>19529.33</v>
      </c>
      <c r="I51" s="249">
        <f>D51-F51-G51</f>
        <v>19529.33</v>
      </c>
      <c r="J51" s="286">
        <f t="shared" si="9"/>
        <v>35.418882275132276</v>
      </c>
    </row>
    <row r="52" spans="1:10" s="185" customFormat="1" ht="17.25" customHeight="1">
      <c r="A52" s="195"/>
      <c r="B52" s="280" t="s">
        <v>40</v>
      </c>
      <c r="C52" s="249">
        <v>0</v>
      </c>
      <c r="D52" s="249">
        <v>4200.85</v>
      </c>
      <c r="E52" s="249">
        <v>4200.85</v>
      </c>
      <c r="F52" s="249">
        <v>4200.85</v>
      </c>
      <c r="G52" s="249"/>
      <c r="H52" s="249">
        <f>E52-F52-G52</f>
        <v>0</v>
      </c>
      <c r="I52" s="249">
        <f>D52-F52-G52</f>
        <v>0</v>
      </c>
      <c r="J52" s="298">
        <f t="shared" si="9"/>
        <v>100</v>
      </c>
    </row>
    <row r="53" spans="1:10" s="185" customFormat="1" ht="17.25" customHeight="1">
      <c r="A53" s="195"/>
      <c r="B53" s="280" t="s">
        <v>104</v>
      </c>
      <c r="C53" s="249">
        <v>15750</v>
      </c>
      <c r="D53" s="249">
        <f>15750-921.44</f>
        <v>14828.56</v>
      </c>
      <c r="E53" s="249">
        <v>14828.56</v>
      </c>
      <c r="F53" s="249">
        <f>5985.57+8113.99+729</f>
        <v>14828.56</v>
      </c>
      <c r="G53" s="249"/>
      <c r="H53" s="249">
        <f>E53-F53-G53</f>
        <v>0</v>
      </c>
      <c r="I53" s="249">
        <f>D53-F53-G53</f>
        <v>0</v>
      </c>
      <c r="J53" s="286">
        <f t="shared" si="9"/>
        <v>100</v>
      </c>
    </row>
    <row r="54" spans="1:10" s="185" customFormat="1" ht="17.25" customHeight="1">
      <c r="A54" s="248">
        <v>2240</v>
      </c>
      <c r="B54" s="272" t="s">
        <v>76</v>
      </c>
      <c r="C54" s="273">
        <f aca="true" t="shared" si="10" ref="C54:I54">SUM(C55:C76)</f>
        <v>77400</v>
      </c>
      <c r="D54" s="273">
        <f t="shared" si="10"/>
        <v>85217.92</v>
      </c>
      <c r="E54" s="273">
        <f t="shared" si="10"/>
        <v>85217.92</v>
      </c>
      <c r="F54" s="273">
        <f t="shared" si="10"/>
        <v>85217.92</v>
      </c>
      <c r="G54" s="273">
        <f t="shared" si="10"/>
        <v>0</v>
      </c>
      <c r="H54" s="273">
        <f t="shared" si="10"/>
        <v>9.094947017729282E-13</v>
      </c>
      <c r="I54" s="273">
        <f t="shared" si="10"/>
        <v>9.094947017729282E-13</v>
      </c>
      <c r="J54" s="301">
        <f t="shared" si="9"/>
        <v>100</v>
      </c>
    </row>
    <row r="55" spans="1:10" s="185" customFormat="1" ht="17.25" customHeight="1">
      <c r="A55" s="251"/>
      <c r="B55" s="274" t="s">
        <v>132</v>
      </c>
      <c r="C55" s="249">
        <v>1400</v>
      </c>
      <c r="D55" s="249">
        <f>1400-38-171.6</f>
        <v>1190.4</v>
      </c>
      <c r="E55" s="249">
        <v>1190.4</v>
      </c>
      <c r="F55" s="249">
        <v>1190.4</v>
      </c>
      <c r="G55" s="252"/>
      <c r="H55" s="249">
        <f aca="true" t="shared" si="11" ref="H55:H76">E55-F55-G55</f>
        <v>0</v>
      </c>
      <c r="I55" s="249">
        <f aca="true" t="shared" si="12" ref="I55:I76">D55-F55-G55</f>
        <v>0</v>
      </c>
      <c r="J55" s="286">
        <f t="shared" si="9"/>
        <v>100</v>
      </c>
    </row>
    <row r="56" spans="1:10" s="185" customFormat="1" ht="17.25" customHeight="1">
      <c r="A56" s="251"/>
      <c r="B56" s="274" t="s">
        <v>171</v>
      </c>
      <c r="C56" s="249"/>
      <c r="D56" s="249">
        <f>5457.6-94.37</f>
        <v>5363.2300000000005</v>
      </c>
      <c r="E56" s="249">
        <f>5457.6-94.37</f>
        <v>5363.2300000000005</v>
      </c>
      <c r="F56" s="249">
        <v>5363.23</v>
      </c>
      <c r="G56" s="249"/>
      <c r="H56" s="249">
        <f t="shared" si="11"/>
        <v>9.094947017729282E-13</v>
      </c>
      <c r="I56" s="249">
        <f t="shared" si="12"/>
        <v>9.094947017729282E-13</v>
      </c>
      <c r="J56" s="286">
        <f t="shared" si="9"/>
        <v>99.99999999999997</v>
      </c>
    </row>
    <row r="57" spans="1:10" s="185" customFormat="1" ht="17.25" customHeight="1">
      <c r="A57" s="195"/>
      <c r="B57" s="274" t="s">
        <v>138</v>
      </c>
      <c r="C57" s="249">
        <v>7000</v>
      </c>
      <c r="D57" s="249">
        <f>7000-7000</f>
        <v>0</v>
      </c>
      <c r="E57" s="249"/>
      <c r="F57" s="249"/>
      <c r="G57" s="249"/>
      <c r="H57" s="249">
        <f t="shared" si="11"/>
        <v>0</v>
      </c>
      <c r="I57" s="249">
        <f t="shared" si="12"/>
        <v>0</v>
      </c>
      <c r="J57" s="298" t="e">
        <f t="shared" si="9"/>
        <v>#DIV/0!</v>
      </c>
    </row>
    <row r="58" spans="1:10" s="185" customFormat="1" ht="17.25" customHeight="1">
      <c r="A58" s="195"/>
      <c r="B58" s="274" t="s">
        <v>139</v>
      </c>
      <c r="C58" s="249">
        <v>5000</v>
      </c>
      <c r="D58" s="249">
        <f>5000-5000</f>
        <v>0</v>
      </c>
      <c r="E58" s="249"/>
      <c r="F58" s="249"/>
      <c r="G58" s="249"/>
      <c r="H58" s="249">
        <f t="shared" si="11"/>
        <v>0</v>
      </c>
      <c r="I58" s="249">
        <f t="shared" si="12"/>
        <v>0</v>
      </c>
      <c r="J58" s="298" t="e">
        <f t="shared" si="9"/>
        <v>#DIV/0!</v>
      </c>
    </row>
    <row r="59" spans="1:10" s="185" customFormat="1" ht="17.25" customHeight="1">
      <c r="A59" s="195"/>
      <c r="B59" s="274" t="s">
        <v>140</v>
      </c>
      <c r="C59" s="249">
        <v>7000</v>
      </c>
      <c r="D59" s="249">
        <f>7000-2937-0.41</f>
        <v>4062.59</v>
      </c>
      <c r="E59" s="249">
        <v>4062.59</v>
      </c>
      <c r="F59" s="249">
        <v>4062.59</v>
      </c>
      <c r="G59" s="249"/>
      <c r="H59" s="249">
        <f t="shared" si="11"/>
        <v>0</v>
      </c>
      <c r="I59" s="249">
        <f t="shared" si="12"/>
        <v>0</v>
      </c>
      <c r="J59" s="286">
        <f t="shared" si="9"/>
        <v>100</v>
      </c>
    </row>
    <row r="60" spans="1:10" s="185" customFormat="1" ht="17.25" customHeight="1">
      <c r="A60" s="195"/>
      <c r="B60" s="274" t="s">
        <v>141</v>
      </c>
      <c r="C60" s="249">
        <v>1500</v>
      </c>
      <c r="D60" s="249">
        <f>1500+10+396+47</f>
        <v>1953</v>
      </c>
      <c r="E60" s="249">
        <v>1953</v>
      </c>
      <c r="F60" s="249">
        <v>1953</v>
      </c>
      <c r="G60" s="249"/>
      <c r="H60" s="249">
        <f t="shared" si="11"/>
        <v>0</v>
      </c>
      <c r="I60" s="249">
        <f t="shared" si="12"/>
        <v>0</v>
      </c>
      <c r="J60" s="286">
        <f t="shared" si="9"/>
        <v>100</v>
      </c>
    </row>
    <row r="61" spans="1:10" s="185" customFormat="1" ht="16.5" customHeight="1">
      <c r="A61" s="195"/>
      <c r="B61" s="274" t="s">
        <v>194</v>
      </c>
      <c r="C61" s="249"/>
      <c r="D61" s="249">
        <f>10000+5000+700+900+202.1-1802.1</f>
        <v>14999.999999999998</v>
      </c>
      <c r="E61" s="249">
        <v>15000</v>
      </c>
      <c r="F61" s="249">
        <v>15000</v>
      </c>
      <c r="G61" s="249"/>
      <c r="H61" s="249">
        <f t="shared" si="11"/>
        <v>0</v>
      </c>
      <c r="I61" s="249">
        <f t="shared" si="12"/>
        <v>-1.8189894035458565E-12</v>
      </c>
      <c r="J61" s="286">
        <f t="shared" si="9"/>
        <v>100</v>
      </c>
    </row>
    <row r="62" spans="1:10" s="185" customFormat="1" ht="17.25" customHeight="1">
      <c r="A62" s="195"/>
      <c r="B62" s="274" t="s">
        <v>77</v>
      </c>
      <c r="C62" s="249">
        <v>1300</v>
      </c>
      <c r="D62" s="249">
        <f>1300-450-10</f>
        <v>840</v>
      </c>
      <c r="E62" s="249">
        <v>840</v>
      </c>
      <c r="F62" s="249">
        <v>840</v>
      </c>
      <c r="G62" s="249"/>
      <c r="H62" s="249">
        <f t="shared" si="11"/>
        <v>0</v>
      </c>
      <c r="I62" s="249">
        <f t="shared" si="12"/>
        <v>0</v>
      </c>
      <c r="J62" s="286">
        <f t="shared" si="9"/>
        <v>100</v>
      </c>
    </row>
    <row r="63" spans="1:10" s="185" customFormat="1" ht="17.25" customHeight="1">
      <c r="A63" s="195"/>
      <c r="B63" s="274" t="s">
        <v>161</v>
      </c>
      <c r="C63" s="249">
        <v>7500</v>
      </c>
      <c r="D63" s="249">
        <f>7500+5000-900</f>
        <v>11600</v>
      </c>
      <c r="E63" s="249">
        <v>11600</v>
      </c>
      <c r="F63" s="249">
        <v>11600</v>
      </c>
      <c r="G63" s="249"/>
      <c r="H63" s="249">
        <f t="shared" si="11"/>
        <v>0</v>
      </c>
      <c r="I63" s="249">
        <f t="shared" si="12"/>
        <v>0</v>
      </c>
      <c r="J63" s="286">
        <f t="shared" si="9"/>
        <v>100</v>
      </c>
    </row>
    <row r="64" spans="1:10" s="185" customFormat="1" ht="17.25" customHeight="1">
      <c r="A64" s="195"/>
      <c r="B64" s="274" t="s">
        <v>7</v>
      </c>
      <c r="C64" s="249">
        <v>800</v>
      </c>
      <c r="D64" s="249">
        <f>800-92</f>
        <v>708</v>
      </c>
      <c r="E64" s="249">
        <f>800-92</f>
        <v>708</v>
      </c>
      <c r="F64" s="249">
        <v>708</v>
      </c>
      <c r="G64" s="249"/>
      <c r="H64" s="249">
        <f t="shared" si="11"/>
        <v>0</v>
      </c>
      <c r="I64" s="249">
        <f t="shared" si="12"/>
        <v>0</v>
      </c>
      <c r="J64" s="286">
        <f t="shared" si="9"/>
        <v>100</v>
      </c>
    </row>
    <row r="65" spans="1:10" s="185" customFormat="1" ht="17.25" customHeight="1">
      <c r="A65" s="195"/>
      <c r="B65" s="274" t="s">
        <v>35</v>
      </c>
      <c r="C65" s="249">
        <v>700</v>
      </c>
      <c r="D65" s="249">
        <f>700-700</f>
        <v>0</v>
      </c>
      <c r="E65" s="249">
        <v>0</v>
      </c>
      <c r="F65" s="249"/>
      <c r="G65" s="249"/>
      <c r="H65" s="249">
        <f t="shared" si="11"/>
        <v>0</v>
      </c>
      <c r="I65" s="249">
        <f t="shared" si="12"/>
        <v>0</v>
      </c>
      <c r="J65" s="298" t="e">
        <f t="shared" si="9"/>
        <v>#DIV/0!</v>
      </c>
    </row>
    <row r="66" spans="1:10" s="185" customFormat="1" ht="17.25" customHeight="1">
      <c r="A66" s="195"/>
      <c r="B66" s="267" t="s">
        <v>162</v>
      </c>
      <c r="C66" s="249">
        <v>1000</v>
      </c>
      <c r="D66" s="249">
        <f>1000-1000</f>
        <v>0</v>
      </c>
      <c r="E66" s="249"/>
      <c r="F66" s="249"/>
      <c r="G66" s="249"/>
      <c r="H66" s="249">
        <f t="shared" si="11"/>
        <v>0</v>
      </c>
      <c r="I66" s="249">
        <f t="shared" si="12"/>
        <v>0</v>
      </c>
      <c r="J66" s="298" t="e">
        <f t="shared" si="9"/>
        <v>#DIV/0!</v>
      </c>
    </row>
    <row r="67" spans="1:10" s="185" customFormat="1" ht="17.25" customHeight="1">
      <c r="A67" s="195"/>
      <c r="B67" s="274" t="s">
        <v>120</v>
      </c>
      <c r="C67" s="249">
        <v>1000</v>
      </c>
      <c r="D67" s="249">
        <f>1000-316</f>
        <v>684</v>
      </c>
      <c r="E67" s="249">
        <v>684</v>
      </c>
      <c r="F67" s="249">
        <v>684</v>
      </c>
      <c r="G67" s="249"/>
      <c r="H67" s="249">
        <f t="shared" si="11"/>
        <v>0</v>
      </c>
      <c r="I67" s="249">
        <f t="shared" si="12"/>
        <v>0</v>
      </c>
      <c r="J67" s="286">
        <f t="shared" si="9"/>
        <v>100</v>
      </c>
    </row>
    <row r="68" spans="1:10" s="185" customFormat="1" ht="17.25" customHeight="1">
      <c r="A68" s="195"/>
      <c r="B68" s="274" t="s">
        <v>142</v>
      </c>
      <c r="C68" s="249">
        <f>2000+800</f>
        <v>2800</v>
      </c>
      <c r="D68" s="249">
        <f>2800+2937-47+38+92+7000-12800-20</f>
        <v>0</v>
      </c>
      <c r="E68" s="249"/>
      <c r="F68" s="249"/>
      <c r="G68" s="249"/>
      <c r="H68" s="249">
        <f t="shared" si="11"/>
        <v>0</v>
      </c>
      <c r="I68" s="249">
        <f t="shared" si="12"/>
        <v>0</v>
      </c>
      <c r="J68" s="298" t="e">
        <f t="shared" si="9"/>
        <v>#DIV/0!</v>
      </c>
    </row>
    <row r="69" spans="1:10" s="185" customFormat="1" ht="17.25" customHeight="1">
      <c r="A69" s="195"/>
      <c r="B69" s="274" t="s">
        <v>143</v>
      </c>
      <c r="C69" s="249">
        <v>800</v>
      </c>
      <c r="D69" s="249">
        <f>800-396-202.1</f>
        <v>201.9</v>
      </c>
      <c r="E69" s="249">
        <v>201.9</v>
      </c>
      <c r="F69" s="249">
        <v>201.9</v>
      </c>
      <c r="G69" s="249"/>
      <c r="H69" s="249">
        <f t="shared" si="11"/>
        <v>0</v>
      </c>
      <c r="I69" s="249">
        <f t="shared" si="12"/>
        <v>0</v>
      </c>
      <c r="J69" s="286">
        <f t="shared" si="9"/>
        <v>100</v>
      </c>
    </row>
    <row r="70" spans="1:10" s="185" customFormat="1" ht="17.25" customHeight="1">
      <c r="A70" s="195"/>
      <c r="B70" s="274" t="s">
        <v>156</v>
      </c>
      <c r="C70" s="249">
        <f>5500+1000</f>
        <v>6500</v>
      </c>
      <c r="D70" s="249">
        <f>6500+1000+1000+4700+30.37+171.6+598.03-2000</f>
        <v>12000.000000000002</v>
      </c>
      <c r="E70" s="249">
        <v>12000</v>
      </c>
      <c r="F70" s="249">
        <v>12000</v>
      </c>
      <c r="G70" s="249"/>
      <c r="H70" s="249">
        <f t="shared" si="11"/>
        <v>0</v>
      </c>
      <c r="I70" s="249">
        <f t="shared" si="12"/>
        <v>1.8189894035458565E-12</v>
      </c>
      <c r="J70" s="286">
        <f t="shared" si="9"/>
        <v>100</v>
      </c>
    </row>
    <row r="71" spans="1:10" s="185" customFormat="1" ht="17.25" customHeight="1">
      <c r="A71" s="195"/>
      <c r="B71" s="274" t="s">
        <v>133</v>
      </c>
      <c r="C71" s="249">
        <v>600</v>
      </c>
      <c r="D71" s="249">
        <f>600+450</f>
        <v>1050</v>
      </c>
      <c r="E71" s="249">
        <v>1050</v>
      </c>
      <c r="F71" s="249">
        <v>1050</v>
      </c>
      <c r="G71" s="249"/>
      <c r="H71" s="249">
        <f t="shared" si="11"/>
        <v>0</v>
      </c>
      <c r="I71" s="249">
        <f t="shared" si="12"/>
        <v>0</v>
      </c>
      <c r="J71" s="286">
        <f t="shared" si="9"/>
        <v>100</v>
      </c>
    </row>
    <row r="72" spans="1:10" s="185" customFormat="1" ht="17.25" customHeight="1">
      <c r="A72" s="195"/>
      <c r="B72" s="274" t="s">
        <v>144</v>
      </c>
      <c r="C72" s="249">
        <v>10000</v>
      </c>
      <c r="D72" s="249">
        <f>10000-320-5000+1802.1-598.03+2000+0.41-7884.48</f>
        <v>0</v>
      </c>
      <c r="E72" s="249">
        <v>0</v>
      </c>
      <c r="F72" s="249"/>
      <c r="G72" s="249"/>
      <c r="H72" s="249">
        <f t="shared" si="11"/>
        <v>0</v>
      </c>
      <c r="I72" s="249">
        <f t="shared" si="12"/>
        <v>0</v>
      </c>
      <c r="J72" s="298" t="e">
        <f t="shared" si="9"/>
        <v>#DIV/0!</v>
      </c>
    </row>
    <row r="73" spans="1:10" s="185" customFormat="1" ht="17.25" customHeight="1">
      <c r="A73" s="195"/>
      <c r="B73" s="274" t="s">
        <v>145</v>
      </c>
      <c r="C73" s="249">
        <v>1000</v>
      </c>
      <c r="D73" s="249">
        <f>1000+320</f>
        <v>1320</v>
      </c>
      <c r="E73" s="249">
        <v>1320</v>
      </c>
      <c r="F73" s="249">
        <v>1320</v>
      </c>
      <c r="G73" s="249"/>
      <c r="H73" s="249">
        <f t="shared" si="11"/>
        <v>0</v>
      </c>
      <c r="I73" s="249">
        <f t="shared" si="12"/>
        <v>0</v>
      </c>
      <c r="J73" s="286">
        <f t="shared" si="9"/>
        <v>100</v>
      </c>
    </row>
    <row r="74" spans="1:10" s="185" customFormat="1" ht="17.25" customHeight="1">
      <c r="A74" s="195"/>
      <c r="B74" s="274" t="s">
        <v>146</v>
      </c>
      <c r="C74" s="249">
        <v>20000</v>
      </c>
      <c r="D74" s="249">
        <f>20000-5000-4700</f>
        <v>10300</v>
      </c>
      <c r="E74" s="249">
        <v>10300</v>
      </c>
      <c r="F74" s="249">
        <v>10300</v>
      </c>
      <c r="G74" s="249"/>
      <c r="H74" s="249">
        <f t="shared" si="11"/>
        <v>0</v>
      </c>
      <c r="I74" s="249">
        <f t="shared" si="12"/>
        <v>0</v>
      </c>
      <c r="J74" s="286">
        <f t="shared" si="9"/>
        <v>100</v>
      </c>
    </row>
    <row r="75" spans="1:10" s="185" customFormat="1" ht="17.25" customHeight="1">
      <c r="A75" s="195"/>
      <c r="B75" s="308" t="s">
        <v>193</v>
      </c>
      <c r="C75" s="249"/>
      <c r="D75" s="249">
        <f>37800-19755.2</f>
        <v>18044.8</v>
      </c>
      <c r="E75" s="249">
        <f>37800-19755.2</f>
        <v>18044.8</v>
      </c>
      <c r="F75" s="249">
        <v>18044.8</v>
      </c>
      <c r="G75" s="249"/>
      <c r="H75" s="249">
        <f t="shared" si="11"/>
        <v>0</v>
      </c>
      <c r="I75" s="249">
        <f t="shared" si="12"/>
        <v>0</v>
      </c>
      <c r="J75" s="286">
        <f t="shared" si="9"/>
        <v>100.00000000000001</v>
      </c>
    </row>
    <row r="76" spans="1:10" s="185" customFormat="1" ht="17.25" customHeight="1">
      <c r="A76" s="195"/>
      <c r="B76" s="274" t="s">
        <v>147</v>
      </c>
      <c r="C76" s="249">
        <v>1500</v>
      </c>
      <c r="D76" s="249">
        <f>1500-1000+94.37+20+316-30.37</f>
        <v>900</v>
      </c>
      <c r="E76" s="249">
        <v>900</v>
      </c>
      <c r="F76" s="249">
        <v>900</v>
      </c>
      <c r="G76" s="249"/>
      <c r="H76" s="249">
        <f t="shared" si="11"/>
        <v>0</v>
      </c>
      <c r="I76" s="249">
        <f t="shared" si="12"/>
        <v>0</v>
      </c>
      <c r="J76" s="286">
        <f t="shared" si="9"/>
        <v>100</v>
      </c>
    </row>
    <row r="77" spans="1:26" s="182" customFormat="1" ht="17.25" customHeight="1">
      <c r="A77" s="248">
        <v>2250</v>
      </c>
      <c r="B77" s="272" t="s">
        <v>153</v>
      </c>
      <c r="C77" s="250">
        <f aca="true" t="shared" si="13" ref="C77:I77">C78</f>
        <v>0</v>
      </c>
      <c r="D77" s="250">
        <f t="shared" si="13"/>
        <v>2841</v>
      </c>
      <c r="E77" s="250">
        <f t="shared" si="13"/>
        <v>2841</v>
      </c>
      <c r="F77" s="250">
        <f t="shared" si="13"/>
        <v>2840</v>
      </c>
      <c r="G77" s="250">
        <f t="shared" si="13"/>
        <v>0</v>
      </c>
      <c r="H77" s="250">
        <f t="shared" si="13"/>
        <v>1</v>
      </c>
      <c r="I77" s="250">
        <f t="shared" si="13"/>
        <v>1</v>
      </c>
      <c r="J77" s="291">
        <f t="shared" si="9"/>
        <v>99.96480112636395</v>
      </c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</row>
    <row r="78" spans="1:26" s="182" customFormat="1" ht="17.25" customHeight="1">
      <c r="A78" s="195"/>
      <c r="B78" s="274" t="s">
        <v>155</v>
      </c>
      <c r="C78" s="249">
        <v>0</v>
      </c>
      <c r="D78" s="249">
        <v>2841</v>
      </c>
      <c r="E78" s="249">
        <v>2841</v>
      </c>
      <c r="F78" s="249">
        <v>2840</v>
      </c>
      <c r="G78" s="249"/>
      <c r="H78" s="249">
        <f>E78-F78-G78</f>
        <v>1</v>
      </c>
      <c r="I78" s="249">
        <f>D78-F78-G78</f>
        <v>1</v>
      </c>
      <c r="J78" s="286">
        <f t="shared" si="9"/>
        <v>99.96480112636395</v>
      </c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</row>
    <row r="79" spans="1:10" s="185" customFormat="1" ht="17.25" customHeight="1">
      <c r="A79" s="248">
        <v>2270</v>
      </c>
      <c r="B79" s="272" t="s">
        <v>78</v>
      </c>
      <c r="C79" s="273">
        <f>SUM(C80:C82)</f>
        <v>764125</v>
      </c>
      <c r="D79" s="250">
        <f aca="true" t="shared" si="14" ref="D79:I79">D81+D82+D80</f>
        <v>556062</v>
      </c>
      <c r="E79" s="250">
        <f t="shared" si="14"/>
        <v>556062</v>
      </c>
      <c r="F79" s="250">
        <f t="shared" si="14"/>
        <v>540796.25</v>
      </c>
      <c r="G79" s="250">
        <f t="shared" si="14"/>
        <v>0</v>
      </c>
      <c r="H79" s="250">
        <f t="shared" si="14"/>
        <v>15265.750000000007</v>
      </c>
      <c r="I79" s="250">
        <f t="shared" si="14"/>
        <v>15265.750000000007</v>
      </c>
      <c r="J79" s="291">
        <f t="shared" si="9"/>
        <v>97.25466764497484</v>
      </c>
    </row>
    <row r="80" spans="1:26" s="240" customFormat="1" ht="17.25" customHeight="1">
      <c r="A80" s="234" t="s">
        <v>79</v>
      </c>
      <c r="B80" s="281" t="s">
        <v>80</v>
      </c>
      <c r="C80" s="249">
        <v>6000</v>
      </c>
      <c r="D80" s="249">
        <f>6000-3000</f>
        <v>3000</v>
      </c>
      <c r="E80" s="249">
        <v>3000</v>
      </c>
      <c r="F80" s="249">
        <v>3000</v>
      </c>
      <c r="G80" s="249"/>
      <c r="H80" s="249">
        <f>E80-F80-G80</f>
        <v>0</v>
      </c>
      <c r="I80" s="249">
        <f>D80-F80-G80</f>
        <v>0</v>
      </c>
      <c r="J80" s="292">
        <f t="shared" si="9"/>
        <v>100</v>
      </c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</row>
    <row r="81" spans="1:10" s="185" customFormat="1" ht="17.25" customHeight="1">
      <c r="A81" s="234" t="s">
        <v>81</v>
      </c>
      <c r="B81" s="281" t="s">
        <v>82</v>
      </c>
      <c r="C81" s="249">
        <v>64948</v>
      </c>
      <c r="D81" s="249">
        <f>64948+3000</f>
        <v>67948</v>
      </c>
      <c r="E81" s="249">
        <f>D81</f>
        <v>67948</v>
      </c>
      <c r="F81" s="249">
        <v>62268.51</v>
      </c>
      <c r="G81" s="249"/>
      <c r="H81" s="249">
        <f>E81-F81-G81</f>
        <v>5679.489999999998</v>
      </c>
      <c r="I81" s="249">
        <f>D81-F81-G81</f>
        <v>5679.489999999998</v>
      </c>
      <c r="J81" s="286">
        <f t="shared" si="9"/>
        <v>91.64141696591511</v>
      </c>
    </row>
    <row r="82" spans="1:26" s="240" customFormat="1" ht="17.25" customHeight="1">
      <c r="A82" s="234" t="s">
        <v>83</v>
      </c>
      <c r="B82" s="281" t="s">
        <v>84</v>
      </c>
      <c r="C82" s="249">
        <v>693177</v>
      </c>
      <c r="D82" s="249">
        <v>485114</v>
      </c>
      <c r="E82" s="249">
        <f>D82</f>
        <v>485114</v>
      </c>
      <c r="F82" s="249">
        <v>475527.74</v>
      </c>
      <c r="G82" s="249"/>
      <c r="H82" s="249">
        <f>E82-F82-G82</f>
        <v>9586.26000000001</v>
      </c>
      <c r="I82" s="249">
        <f>D82-F82-G82</f>
        <v>9586.26000000001</v>
      </c>
      <c r="J82" s="286">
        <f t="shared" si="9"/>
        <v>98.02391602798517</v>
      </c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</row>
    <row r="83" spans="1:10" s="184" customFormat="1" ht="17.25" customHeight="1">
      <c r="A83" s="248">
        <v>2282</v>
      </c>
      <c r="B83" s="272" t="s">
        <v>85</v>
      </c>
      <c r="C83" s="273">
        <f aca="true" t="shared" si="15" ref="C83:I83">SUM(C84:C87)</f>
        <v>3700</v>
      </c>
      <c r="D83" s="273">
        <f t="shared" si="15"/>
        <v>474</v>
      </c>
      <c r="E83" s="273">
        <f t="shared" si="15"/>
        <v>474</v>
      </c>
      <c r="F83" s="273">
        <f t="shared" si="15"/>
        <v>474</v>
      </c>
      <c r="G83" s="273">
        <f t="shared" si="15"/>
        <v>0</v>
      </c>
      <c r="H83" s="273">
        <f t="shared" si="15"/>
        <v>0</v>
      </c>
      <c r="I83" s="273">
        <f t="shared" si="15"/>
        <v>0</v>
      </c>
      <c r="J83" s="291">
        <f t="shared" si="9"/>
        <v>100</v>
      </c>
    </row>
    <row r="84" spans="1:26" s="178" customFormat="1" ht="17.25" customHeight="1">
      <c r="A84" s="195"/>
      <c r="B84" s="282" t="s">
        <v>159</v>
      </c>
      <c r="C84" s="249">
        <v>400</v>
      </c>
      <c r="D84" s="249">
        <f>400-400</f>
        <v>0</v>
      </c>
      <c r="E84" s="249">
        <f>400-400</f>
        <v>0</v>
      </c>
      <c r="F84" s="249"/>
      <c r="G84" s="249"/>
      <c r="H84" s="249">
        <f>E84-F84-G84</f>
        <v>0</v>
      </c>
      <c r="I84" s="249">
        <f>D84-F84-G84</f>
        <v>0</v>
      </c>
      <c r="J84" s="298" t="e">
        <f t="shared" si="9"/>
        <v>#DIV/0!</v>
      </c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</row>
    <row r="85" spans="1:26" s="178" customFormat="1" ht="17.25" customHeight="1">
      <c r="A85" s="195"/>
      <c r="B85" s="282" t="s">
        <v>157</v>
      </c>
      <c r="C85" s="249">
        <v>400</v>
      </c>
      <c r="D85" s="249">
        <f>400-70</f>
        <v>330</v>
      </c>
      <c r="E85" s="249">
        <v>330</v>
      </c>
      <c r="F85" s="249">
        <v>330</v>
      </c>
      <c r="G85" s="249"/>
      <c r="H85" s="249">
        <f>E85-F85-G85</f>
        <v>0</v>
      </c>
      <c r="I85" s="249">
        <f>D85-F85-G85</f>
        <v>0</v>
      </c>
      <c r="J85" s="286">
        <f t="shared" si="9"/>
        <v>100</v>
      </c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</row>
    <row r="86" spans="1:26" s="178" customFormat="1" ht="17.25" customHeight="1">
      <c r="A86" s="195"/>
      <c r="B86" s="282" t="s">
        <v>158</v>
      </c>
      <c r="C86" s="249">
        <v>400</v>
      </c>
      <c r="D86" s="249">
        <f>400-100-156</f>
        <v>144</v>
      </c>
      <c r="E86" s="249">
        <v>144</v>
      </c>
      <c r="F86" s="249">
        <v>144</v>
      </c>
      <c r="G86" s="249"/>
      <c r="H86" s="249">
        <f>E86-F86-G86</f>
        <v>0</v>
      </c>
      <c r="I86" s="249">
        <f>D86-F86-G86</f>
        <v>0</v>
      </c>
      <c r="J86" s="286">
        <f t="shared" si="9"/>
        <v>100</v>
      </c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</row>
    <row r="87" spans="1:26" s="182" customFormat="1" ht="17.25" customHeight="1">
      <c r="A87" s="195"/>
      <c r="B87" s="282" t="s">
        <v>160</v>
      </c>
      <c r="C87" s="249">
        <v>2500</v>
      </c>
      <c r="D87" s="249">
        <f>2500-2500</f>
        <v>0</v>
      </c>
      <c r="E87" s="249">
        <f>2500-2500</f>
        <v>0</v>
      </c>
      <c r="F87" s="249"/>
      <c r="G87" s="249"/>
      <c r="H87" s="249">
        <f>E87-F87-G87</f>
        <v>0</v>
      </c>
      <c r="I87" s="249">
        <f>D87-F87-G87</f>
        <v>0</v>
      </c>
      <c r="J87" s="298" t="e">
        <f t="shared" si="9"/>
        <v>#DIV/0!</v>
      </c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</row>
    <row r="88" spans="1:26" s="182" customFormat="1" ht="17.25" customHeight="1">
      <c r="A88" s="248" t="s">
        <v>87</v>
      </c>
      <c r="B88" s="272" t="s">
        <v>88</v>
      </c>
      <c r="C88" s="250">
        <f aca="true" t="shared" si="16" ref="C88:I88">C89</f>
        <v>500</v>
      </c>
      <c r="D88" s="250">
        <f t="shared" si="16"/>
        <v>500</v>
      </c>
      <c r="E88" s="250">
        <f t="shared" si="16"/>
        <v>500</v>
      </c>
      <c r="F88" s="250">
        <f t="shared" si="16"/>
        <v>500</v>
      </c>
      <c r="G88" s="250">
        <f t="shared" si="16"/>
        <v>0</v>
      </c>
      <c r="H88" s="250">
        <f t="shared" si="16"/>
        <v>0</v>
      </c>
      <c r="I88" s="250">
        <f t="shared" si="16"/>
        <v>0</v>
      </c>
      <c r="J88" s="291">
        <f t="shared" si="9"/>
        <v>100</v>
      </c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</row>
    <row r="89" spans="1:26" s="182" customFormat="1" ht="17.25" customHeight="1" thickBot="1">
      <c r="A89" s="210"/>
      <c r="B89" s="293" t="s">
        <v>89</v>
      </c>
      <c r="C89" s="294">
        <v>500</v>
      </c>
      <c r="D89" s="294">
        <v>500</v>
      </c>
      <c r="E89" s="294">
        <v>500</v>
      </c>
      <c r="F89" s="294">
        <v>500</v>
      </c>
      <c r="G89" s="294"/>
      <c r="H89" s="294">
        <f>E89-F89-G89</f>
        <v>0</v>
      </c>
      <c r="I89" s="294">
        <f>D89-F89-G89</f>
        <v>0</v>
      </c>
      <c r="J89" s="295">
        <f t="shared" si="9"/>
        <v>100</v>
      </c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</row>
    <row r="90" spans="1:26" s="235" customFormat="1" ht="17.25" customHeight="1" thickBot="1">
      <c r="A90" s="324" t="s">
        <v>90</v>
      </c>
      <c r="B90" s="325"/>
      <c r="C90" s="270">
        <f aca="true" t="shared" si="17" ref="C90:I90">C7+C11+C14+C48+C54+C79+C83+C88+C77</f>
        <v>4120976</v>
      </c>
      <c r="D90" s="270">
        <f t="shared" si="17"/>
        <v>4490836.18</v>
      </c>
      <c r="E90" s="270">
        <f t="shared" si="17"/>
        <v>4490836.18</v>
      </c>
      <c r="F90" s="270">
        <f t="shared" si="17"/>
        <v>4455531.24</v>
      </c>
      <c r="G90" s="270">
        <f t="shared" si="17"/>
        <v>0</v>
      </c>
      <c r="H90" s="270">
        <f t="shared" si="17"/>
        <v>35304.940000000046</v>
      </c>
      <c r="I90" s="270">
        <f t="shared" si="17"/>
        <v>35304.940000000046</v>
      </c>
      <c r="J90" s="297">
        <f t="shared" si="9"/>
        <v>99.2138448479321</v>
      </c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</row>
    <row r="91" spans="1:10" s="184" customFormat="1" ht="30" customHeight="1">
      <c r="A91" s="247">
        <v>3110</v>
      </c>
      <c r="B91" s="296" t="s">
        <v>154</v>
      </c>
      <c r="C91" s="273">
        <f aca="true" t="shared" si="18" ref="C91:I91">SUM(C92:C94)</f>
        <v>0</v>
      </c>
      <c r="D91" s="273">
        <f t="shared" si="18"/>
        <v>49782</v>
      </c>
      <c r="E91" s="273">
        <f t="shared" si="18"/>
        <v>49782</v>
      </c>
      <c r="F91" s="273">
        <f t="shared" si="18"/>
        <v>49782</v>
      </c>
      <c r="G91" s="273">
        <f t="shared" si="18"/>
        <v>0</v>
      </c>
      <c r="H91" s="273">
        <f t="shared" si="18"/>
        <v>0</v>
      </c>
      <c r="I91" s="273">
        <f t="shared" si="18"/>
        <v>0</v>
      </c>
      <c r="J91" s="273">
        <f t="shared" si="9"/>
        <v>100</v>
      </c>
    </row>
    <row r="92" spans="1:10" s="262" customFormat="1" ht="17.25" customHeight="1">
      <c r="A92" s="261"/>
      <c r="B92" s="279" t="s">
        <v>187</v>
      </c>
      <c r="C92" s="260"/>
      <c r="D92" s="260">
        <f>29841-3729</f>
        <v>26112</v>
      </c>
      <c r="E92" s="260">
        <v>26112</v>
      </c>
      <c r="F92" s="260">
        <v>26112</v>
      </c>
      <c r="G92" s="260"/>
      <c r="H92" s="260">
        <f>E92-F92-G92</f>
        <v>0</v>
      </c>
      <c r="I92" s="260">
        <f>D92-F92-G92</f>
        <v>0</v>
      </c>
      <c r="J92" s="290">
        <f t="shared" si="9"/>
        <v>100</v>
      </c>
    </row>
    <row r="93" spans="1:10" s="263" customFormat="1" ht="17.25" customHeight="1">
      <c r="A93" s="266"/>
      <c r="B93" s="277" t="s">
        <v>191</v>
      </c>
      <c r="C93" s="265"/>
      <c r="D93" s="265">
        <v>3750</v>
      </c>
      <c r="E93" s="265">
        <v>3750</v>
      </c>
      <c r="F93" s="265">
        <v>3750</v>
      </c>
      <c r="G93" s="265"/>
      <c r="H93" s="265">
        <f>E93-F93-G93</f>
        <v>0</v>
      </c>
      <c r="I93" s="265">
        <f>D93-F93-G93</f>
        <v>0</v>
      </c>
      <c r="J93" s="288">
        <f t="shared" si="9"/>
        <v>100</v>
      </c>
    </row>
    <row r="94" spans="1:10" s="299" customFormat="1" ht="17.25" customHeight="1" thickBot="1">
      <c r="A94" s="306"/>
      <c r="B94" s="305" t="s">
        <v>172</v>
      </c>
      <c r="C94" s="258">
        <v>0</v>
      </c>
      <c r="D94" s="257">
        <f>15000+10000-5080</f>
        <v>19920</v>
      </c>
      <c r="E94" s="257">
        <f>15000+10000-5080</f>
        <v>19920</v>
      </c>
      <c r="F94" s="257">
        <v>19920</v>
      </c>
      <c r="G94" s="258"/>
      <c r="H94" s="258">
        <f>E94-F94-G94</f>
        <v>0</v>
      </c>
      <c r="I94" s="258">
        <f>D94-F94-G94</f>
        <v>0</v>
      </c>
      <c r="J94" s="307">
        <f t="shared" si="9"/>
        <v>100</v>
      </c>
    </row>
    <row r="95" spans="1:26" s="235" customFormat="1" ht="17.25" customHeight="1" thickBot="1">
      <c r="A95" s="320" t="s">
        <v>90</v>
      </c>
      <c r="B95" s="321"/>
      <c r="C95" s="270">
        <f aca="true" t="shared" si="19" ref="C95:I95">C90+C91</f>
        <v>4120976</v>
      </c>
      <c r="D95" s="270">
        <f t="shared" si="19"/>
        <v>4540618.18</v>
      </c>
      <c r="E95" s="270">
        <f t="shared" si="19"/>
        <v>4540618.18</v>
      </c>
      <c r="F95" s="270">
        <f t="shared" si="19"/>
        <v>4505313.24</v>
      </c>
      <c r="G95" s="270">
        <f t="shared" si="19"/>
        <v>0</v>
      </c>
      <c r="H95" s="270">
        <f t="shared" si="19"/>
        <v>35304.940000000046</v>
      </c>
      <c r="I95" s="270">
        <f t="shared" si="19"/>
        <v>35304.940000000046</v>
      </c>
      <c r="J95" s="297">
        <f t="shared" si="9"/>
        <v>99.22246402140777</v>
      </c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</row>
    <row r="96" spans="1:26" s="235" customFormat="1" ht="17.25" customHeight="1" thickBot="1">
      <c r="A96" s="320" t="s">
        <v>198</v>
      </c>
      <c r="B96" s="321"/>
      <c r="C96" s="270"/>
      <c r="D96" s="270">
        <f>D8+D12</f>
        <v>2738284</v>
      </c>
      <c r="E96" s="270"/>
      <c r="F96" s="270">
        <f>F8+F12</f>
        <v>2738284</v>
      </c>
      <c r="G96" s="270"/>
      <c r="H96" s="270"/>
      <c r="I96" s="270"/>
      <c r="J96" s="297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</row>
    <row r="97" spans="1:26" s="235" customFormat="1" ht="17.25" customHeight="1" thickBot="1">
      <c r="A97" s="320" t="s">
        <v>197</v>
      </c>
      <c r="B97" s="321"/>
      <c r="C97" s="270"/>
      <c r="D97" s="270">
        <f>D95-D96</f>
        <v>1802334.1799999997</v>
      </c>
      <c r="E97" s="270"/>
      <c r="F97" s="270">
        <f>F95-F96</f>
        <v>1767029.2400000002</v>
      </c>
      <c r="G97" s="270"/>
      <c r="H97" s="270"/>
      <c r="I97" s="270"/>
      <c r="J97" s="297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</row>
    <row r="98" spans="1:26" s="235" customFormat="1" ht="12.75" customHeight="1">
      <c r="A98" s="196"/>
      <c r="B98" s="197"/>
      <c r="C98" s="239"/>
      <c r="D98" s="253"/>
      <c r="E98" s="239"/>
      <c r="F98" s="239"/>
      <c r="G98" s="239"/>
      <c r="H98" s="239"/>
      <c r="I98" s="239"/>
      <c r="J98" s="244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</row>
    <row r="99" spans="1:26" s="235" customFormat="1" ht="12.75" customHeight="1">
      <c r="A99" s="196"/>
      <c r="B99" s="197"/>
      <c r="C99" s="239"/>
      <c r="D99" s="253"/>
      <c r="E99" s="239"/>
      <c r="F99" s="239"/>
      <c r="G99" s="239"/>
      <c r="H99" s="239"/>
      <c r="I99" s="239"/>
      <c r="J99" s="244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</row>
    <row r="100" spans="1:26" s="235" customFormat="1" ht="12.75" customHeight="1">
      <c r="A100" s="196"/>
      <c r="B100" s="254" t="s">
        <v>149</v>
      </c>
      <c r="C100" s="254"/>
      <c r="D100" s="254" t="s">
        <v>150</v>
      </c>
      <c r="E100" s="239"/>
      <c r="F100" s="239"/>
      <c r="G100" s="239"/>
      <c r="H100" s="239"/>
      <c r="I100" s="239"/>
      <c r="J100" s="244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</row>
    <row r="101" spans="1:26" s="235" customFormat="1" ht="12.75" customHeight="1">
      <c r="A101" s="196"/>
      <c r="B101" s="254"/>
      <c r="C101" s="254"/>
      <c r="D101" s="254"/>
      <c r="E101" s="239"/>
      <c r="F101" s="239"/>
      <c r="G101" s="239"/>
      <c r="H101" s="239"/>
      <c r="I101" s="239"/>
      <c r="J101" s="244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</row>
    <row r="102" spans="2:4" s="254" customFormat="1" ht="15">
      <c r="B102" s="254" t="s">
        <v>151</v>
      </c>
      <c r="C102" s="255"/>
      <c r="D102" s="254" t="s">
        <v>152</v>
      </c>
    </row>
    <row r="103" s="255" customFormat="1" ht="12.75"/>
    <row r="104" s="255" customFormat="1" ht="12.75"/>
    <row r="105" s="254" customFormat="1" ht="15">
      <c r="E105" s="319"/>
    </row>
  </sheetData>
  <sheetProtection/>
  <mergeCells count="16">
    <mergeCell ref="A1:J1"/>
    <mergeCell ref="A2:J2"/>
    <mergeCell ref="J4:J5"/>
    <mergeCell ref="D4:D5"/>
    <mergeCell ref="E4:E5"/>
    <mergeCell ref="F4:F5"/>
    <mergeCell ref="G4:G5"/>
    <mergeCell ref="I4:I5"/>
    <mergeCell ref="A90:B90"/>
    <mergeCell ref="A4:A5"/>
    <mergeCell ref="B4:B5"/>
    <mergeCell ref="C4:C5"/>
    <mergeCell ref="A96:B96"/>
    <mergeCell ref="A97:B97"/>
    <mergeCell ref="A95:B95"/>
    <mergeCell ref="H4:H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600" verticalDpi="600" orientation="landscape" paperSize="9" scale="56" r:id="rId3"/>
  <rowBreaks count="1" manualBreakCount="1">
    <brk id="53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AK24"/>
  <sheetViews>
    <sheetView zoomScalePageLayoutView="0" workbookViewId="0" topLeftCell="A4">
      <pane xSplit="1" ySplit="2" topLeftCell="C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29.875" style="0" customWidth="1"/>
    <col min="2" max="2" width="14.375" style="0" hidden="1" customWidth="1"/>
    <col min="3" max="3" width="13.625" style="3" customWidth="1"/>
    <col min="4" max="6" width="11.75390625" style="3" customWidth="1"/>
    <col min="7" max="8" width="11.875" style="3" customWidth="1"/>
    <col min="9" max="9" width="11.25390625" style="3" customWidth="1"/>
    <col min="10" max="10" width="14.00390625" style="0" customWidth="1"/>
    <col min="11" max="12" width="12.00390625" style="0" customWidth="1"/>
    <col min="13" max="13" width="10.875" style="0" customWidth="1"/>
    <col min="14" max="14" width="10.375" style="0" customWidth="1"/>
    <col min="15" max="15" width="9.00390625" style="0" customWidth="1"/>
    <col min="16" max="16" width="7.75390625" style="0" hidden="1" customWidth="1"/>
    <col min="17" max="17" width="10.125" style="0" hidden="1" customWidth="1"/>
    <col min="18" max="18" width="7.625" style="0" hidden="1" customWidth="1"/>
    <col min="19" max="19" width="11.125" style="0" hidden="1" customWidth="1"/>
    <col min="20" max="20" width="9.25390625" style="0" hidden="1" customWidth="1"/>
    <col min="21" max="21" width="10.625" style="0" hidden="1" customWidth="1"/>
    <col min="22" max="22" width="11.75390625" style="0" hidden="1" customWidth="1"/>
    <col min="23" max="23" width="9.75390625" style="0" hidden="1" customWidth="1"/>
    <col min="24" max="24" width="10.875" style="0" hidden="1" customWidth="1"/>
    <col min="25" max="25" width="9.75390625" style="0" hidden="1" customWidth="1"/>
    <col min="26" max="26" width="11.00390625" style="0" hidden="1" customWidth="1"/>
    <col min="27" max="27" width="8.00390625" style="0" hidden="1" customWidth="1"/>
    <col min="28" max="28" width="11.375" style="0" hidden="1" customWidth="1"/>
    <col min="29" max="29" width="7.875" style="0" hidden="1" customWidth="1"/>
    <col min="30" max="30" width="9.75390625" style="0" hidden="1" customWidth="1"/>
    <col min="31" max="31" width="0" style="0" hidden="1" customWidth="1"/>
    <col min="32" max="32" width="9.25390625" style="0" hidden="1" customWidth="1"/>
    <col min="33" max="33" width="10.375" style="0" hidden="1" customWidth="1"/>
    <col min="34" max="34" width="11.125" style="0" hidden="1" customWidth="1"/>
    <col min="35" max="35" width="17.00390625" style="1" customWidth="1"/>
  </cols>
  <sheetData>
    <row r="4" spans="1:5" ht="27" thickBot="1">
      <c r="A4" s="2"/>
      <c r="D4" s="27" t="s">
        <v>58</v>
      </c>
      <c r="E4" s="27"/>
    </row>
    <row r="5" spans="1:35" s="5" customFormat="1" ht="103.5" customHeight="1" thickBot="1">
      <c r="A5" s="38"/>
      <c r="B5" s="104"/>
      <c r="C5" s="93">
        <v>2210</v>
      </c>
      <c r="D5" s="163" t="s">
        <v>59</v>
      </c>
      <c r="E5" s="163" t="s">
        <v>61</v>
      </c>
      <c r="F5" s="164" t="s">
        <v>60</v>
      </c>
      <c r="G5" s="164" t="s">
        <v>61</v>
      </c>
      <c r="H5" s="165" t="s">
        <v>62</v>
      </c>
      <c r="I5" s="166" t="s">
        <v>63</v>
      </c>
      <c r="J5" s="93">
        <v>2240</v>
      </c>
      <c r="K5" s="162" t="s">
        <v>64</v>
      </c>
      <c r="L5" s="162" t="s">
        <v>65</v>
      </c>
      <c r="M5" s="162" t="s">
        <v>66</v>
      </c>
      <c r="N5" s="16"/>
      <c r="O5" s="16"/>
      <c r="P5" s="16"/>
      <c r="Q5" s="16"/>
      <c r="R5" s="16"/>
      <c r="S5" s="16"/>
      <c r="T5" s="16"/>
      <c r="U5" s="16"/>
      <c r="V5" s="17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54"/>
      <c r="AH5" s="104">
        <v>2250</v>
      </c>
      <c r="AI5" s="139" t="s">
        <v>0</v>
      </c>
    </row>
    <row r="6" spans="1:35" s="4" customFormat="1" ht="19.5" customHeight="1">
      <c r="A6" s="35" t="s">
        <v>27</v>
      </c>
      <c r="B6" s="106">
        <v>0.22</v>
      </c>
      <c r="C6" s="107">
        <f>D6+F6+G6+I6+H6</f>
        <v>48880</v>
      </c>
      <c r="D6" s="6">
        <f>E6*27</f>
        <v>38880</v>
      </c>
      <c r="E6" s="6">
        <v>1440</v>
      </c>
      <c r="F6" s="6">
        <f>G6*25</f>
        <v>0</v>
      </c>
      <c r="G6" s="6"/>
      <c r="H6" s="76"/>
      <c r="I6" s="48">
        <v>10000</v>
      </c>
      <c r="J6" s="98">
        <f>K6+M6+N6+O6+P6+Q6+R6+S6+T6+U6+V6+W6+X6+Y6+Z6+AA6+AB6+AC6+AD6+AE6+AF6+AG6</f>
        <v>1200</v>
      </c>
      <c r="K6" s="7">
        <v>1200</v>
      </c>
      <c r="L6" s="7">
        <v>1000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55"/>
      <c r="AH6" s="105">
        <v>3000</v>
      </c>
      <c r="AI6" s="140">
        <f>C6+AH6+J6</f>
        <v>53080</v>
      </c>
    </row>
    <row r="7" spans="1:35" s="4" customFormat="1" ht="19.5" customHeight="1">
      <c r="A7" s="35" t="s">
        <v>34</v>
      </c>
      <c r="B7" s="106">
        <v>0.22</v>
      </c>
      <c r="C7" s="107">
        <f>D7+F7+G7+I7+H7</f>
        <v>126800</v>
      </c>
      <c r="D7" s="6">
        <f>E7*26</f>
        <v>0</v>
      </c>
      <c r="E7" s="6"/>
      <c r="F7" s="6">
        <f>G7*25</f>
        <v>107500</v>
      </c>
      <c r="G7" s="6">
        <v>4300</v>
      </c>
      <c r="H7" s="76"/>
      <c r="I7" s="48">
        <v>15000</v>
      </c>
      <c r="J7" s="98">
        <f>K7+M7+N7+O7+P7+Q7+R7+S7+T7+U7+V7+W7+X7+Y7+Z7+AA7+AB7+AC7+AD7+AE7+AF7+AG7</f>
        <v>13200</v>
      </c>
      <c r="K7" s="7">
        <v>1200</v>
      </c>
      <c r="L7" s="7">
        <v>1200</v>
      </c>
      <c r="M7" s="7">
        <v>12000</v>
      </c>
      <c r="N7" s="10"/>
      <c r="O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5"/>
      <c r="AH7" s="105">
        <v>3000</v>
      </c>
      <c r="AI7" s="140">
        <f>C7+AH7+J7</f>
        <v>143000</v>
      </c>
    </row>
    <row r="8" spans="1:35" s="11" customFormat="1" ht="19.5" customHeight="1" thickBot="1">
      <c r="A8" s="18"/>
      <c r="B8" s="106">
        <v>0.22</v>
      </c>
      <c r="C8" s="109">
        <f>D8+F8+G8+I8</f>
        <v>0</v>
      </c>
      <c r="D8" s="13"/>
      <c r="E8" s="13"/>
      <c r="F8" s="13"/>
      <c r="G8" s="13"/>
      <c r="H8" s="159"/>
      <c r="I8" s="49"/>
      <c r="J8" s="123">
        <f>K8+M8+N8+O8+P8+Q8+R8+S8+T8+U8+V8+W8+X8+Y8+Z8+AA8+AB8+AC8+AD8+AE8+AF8+AG8</f>
        <v>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56"/>
      <c r="AH8" s="108"/>
      <c r="AI8" s="140">
        <f>C8+AH8+J8</f>
        <v>0</v>
      </c>
    </row>
    <row r="9" spans="1:35" s="22" customFormat="1" ht="33.75" customHeight="1" thickBot="1">
      <c r="A9" s="39" t="s">
        <v>28</v>
      </c>
      <c r="B9" s="106">
        <v>0.22</v>
      </c>
      <c r="C9" s="111">
        <f aca="true" t="shared" si="0" ref="C9:AI9">SUM(C6:C8)</f>
        <v>175680</v>
      </c>
      <c r="D9" s="20">
        <f t="shared" si="0"/>
        <v>38880</v>
      </c>
      <c r="E9" s="167">
        <f t="shared" si="0"/>
        <v>1440</v>
      </c>
      <c r="F9" s="20">
        <f t="shared" si="0"/>
        <v>107500</v>
      </c>
      <c r="G9" s="20">
        <f t="shared" si="0"/>
        <v>4300</v>
      </c>
      <c r="H9" s="160"/>
      <c r="I9" s="50">
        <f t="shared" si="0"/>
        <v>25000</v>
      </c>
      <c r="J9" s="96">
        <f t="shared" si="0"/>
        <v>14400</v>
      </c>
      <c r="K9" s="21">
        <f t="shared" si="0"/>
        <v>2400</v>
      </c>
      <c r="L9" s="21"/>
      <c r="M9" s="21">
        <f t="shared" si="0"/>
        <v>12000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21">
        <f t="shared" si="0"/>
        <v>0</v>
      </c>
      <c r="AE9" s="21">
        <f t="shared" si="0"/>
        <v>0</v>
      </c>
      <c r="AF9" s="21">
        <f t="shared" si="0"/>
        <v>0</v>
      </c>
      <c r="AG9" s="57">
        <f t="shared" si="0"/>
        <v>0</v>
      </c>
      <c r="AH9" s="118">
        <f t="shared" si="0"/>
        <v>6000</v>
      </c>
      <c r="AI9" s="141">
        <f t="shared" si="0"/>
        <v>196080</v>
      </c>
    </row>
    <row r="10" spans="1:35" s="11" customFormat="1" ht="19.5" customHeight="1">
      <c r="A10" s="41" t="s">
        <v>32</v>
      </c>
      <c r="B10" s="106">
        <v>0.22</v>
      </c>
      <c r="C10" s="107">
        <f>C11+C12</f>
        <v>85660</v>
      </c>
      <c r="D10" s="9">
        <f aca="true" t="shared" si="1" ref="D10:AI10">D11+D12</f>
        <v>0</v>
      </c>
      <c r="E10" s="9"/>
      <c r="F10" s="9">
        <f t="shared" si="1"/>
        <v>72750</v>
      </c>
      <c r="G10" s="9">
        <f t="shared" si="1"/>
        <v>2910</v>
      </c>
      <c r="H10" s="73"/>
      <c r="I10" s="73">
        <f t="shared" si="1"/>
        <v>10000</v>
      </c>
      <c r="J10" s="124">
        <f t="shared" si="1"/>
        <v>1200</v>
      </c>
      <c r="K10" s="10">
        <f>K11+K12</f>
        <v>1200</v>
      </c>
      <c r="L10" s="10"/>
      <c r="M10" s="10">
        <f>M11+M12</f>
        <v>0</v>
      </c>
      <c r="N10" s="10">
        <f>N11+N12</f>
        <v>0</v>
      </c>
      <c r="O10" s="10">
        <f>O11+O12</f>
        <v>0</v>
      </c>
      <c r="P10" s="10">
        <f t="shared" si="1"/>
        <v>0</v>
      </c>
      <c r="Q10" s="10">
        <f t="shared" si="1"/>
        <v>0</v>
      </c>
      <c r="R10" s="10">
        <f t="shared" si="1"/>
        <v>0</v>
      </c>
      <c r="S10" s="10">
        <f t="shared" si="1"/>
        <v>0</v>
      </c>
      <c r="T10" s="10">
        <f t="shared" si="1"/>
        <v>0</v>
      </c>
      <c r="U10" s="10">
        <f t="shared" si="1"/>
        <v>0</v>
      </c>
      <c r="V10" s="10">
        <f t="shared" si="1"/>
        <v>0</v>
      </c>
      <c r="W10" s="10">
        <f t="shared" si="1"/>
        <v>0</v>
      </c>
      <c r="X10" s="10">
        <f t="shared" si="1"/>
        <v>0</v>
      </c>
      <c r="Y10" s="10">
        <f t="shared" si="1"/>
        <v>0</v>
      </c>
      <c r="Z10" s="10">
        <f t="shared" si="1"/>
        <v>0</v>
      </c>
      <c r="AA10" s="10">
        <f t="shared" si="1"/>
        <v>0</v>
      </c>
      <c r="AB10" s="10">
        <f t="shared" si="1"/>
        <v>0</v>
      </c>
      <c r="AC10" s="10">
        <f t="shared" si="1"/>
        <v>0</v>
      </c>
      <c r="AD10" s="10">
        <f t="shared" si="1"/>
        <v>0</v>
      </c>
      <c r="AE10" s="10">
        <f t="shared" si="1"/>
        <v>0</v>
      </c>
      <c r="AF10" s="10">
        <f t="shared" si="1"/>
        <v>0</v>
      </c>
      <c r="AG10" s="74">
        <f t="shared" si="1"/>
        <v>0</v>
      </c>
      <c r="AH10" s="105">
        <f t="shared" si="1"/>
        <v>3000</v>
      </c>
      <c r="AI10" s="140">
        <f t="shared" si="1"/>
        <v>89860</v>
      </c>
    </row>
    <row r="11" spans="1:35" s="63" customFormat="1" ht="19.5" customHeight="1">
      <c r="A11" s="40" t="s">
        <v>12</v>
      </c>
      <c r="B11" s="106">
        <v>0.22</v>
      </c>
      <c r="C11" s="107">
        <f aca="true" t="shared" si="2" ref="C11:C18">D11+F11+G11+I11</f>
        <v>85660</v>
      </c>
      <c r="D11" s="6"/>
      <c r="E11" s="6"/>
      <c r="F11" s="6">
        <f>G11*25</f>
        <v>72750</v>
      </c>
      <c r="G11" s="6">
        <v>2910</v>
      </c>
      <c r="H11" s="76"/>
      <c r="I11" s="76">
        <v>10000</v>
      </c>
      <c r="J11" s="125">
        <f>K11+M11+N11+O11+P11+Q11+R11+S11+T11+U11+V11+W11+X11+Y11+Z11+AA11+AB11+AC11+AD11+AE11+AF11+AG11</f>
        <v>1200</v>
      </c>
      <c r="K11" s="7">
        <v>1200</v>
      </c>
      <c r="L11" s="7">
        <v>1000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5"/>
      <c r="AH11" s="112">
        <v>3000</v>
      </c>
      <c r="AI11" s="140">
        <f>C11+AH11+J11</f>
        <v>89860</v>
      </c>
    </row>
    <row r="12" spans="1:35" s="63" customFormat="1" ht="19.5" customHeight="1">
      <c r="A12" s="40" t="s">
        <v>13</v>
      </c>
      <c r="B12" s="106">
        <v>0.22</v>
      </c>
      <c r="C12" s="107">
        <f t="shared" si="2"/>
        <v>0</v>
      </c>
      <c r="D12" s="6"/>
      <c r="E12" s="6"/>
      <c r="F12" s="6"/>
      <c r="G12" s="6"/>
      <c r="H12" s="76"/>
      <c r="I12" s="76"/>
      <c r="J12" s="125">
        <f>K12+M12+N12+O12+P12+Q12+R12+S12+T12+U12+V12+W12+X12+Y12+Z12+AA12+AB12+AC12+AD12+AE12+AF12+AG12</f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5"/>
      <c r="AH12" s="112"/>
      <c r="AI12" s="140">
        <f>C12+AH12+J12</f>
        <v>0</v>
      </c>
    </row>
    <row r="13" spans="1:35" s="11" customFormat="1" ht="19.5" customHeight="1">
      <c r="A13" s="41" t="s">
        <v>33</v>
      </c>
      <c r="B13" s="106">
        <v>0.22</v>
      </c>
      <c r="C13" s="107">
        <f aca="true" t="shared" si="3" ref="C13:AI13">C14+C15</f>
        <v>0</v>
      </c>
      <c r="D13" s="9">
        <f t="shared" si="3"/>
        <v>0</v>
      </c>
      <c r="E13" s="9"/>
      <c r="F13" s="9">
        <f t="shared" si="3"/>
        <v>0</v>
      </c>
      <c r="G13" s="9">
        <f t="shared" si="3"/>
        <v>0</v>
      </c>
      <c r="H13" s="73"/>
      <c r="I13" s="73">
        <f t="shared" si="3"/>
        <v>0</v>
      </c>
      <c r="J13" s="124">
        <f t="shared" si="3"/>
        <v>0</v>
      </c>
      <c r="K13" s="10">
        <f>K14+K15</f>
        <v>0</v>
      </c>
      <c r="L13" s="10"/>
      <c r="M13" s="10">
        <f>M14+M15</f>
        <v>0</v>
      </c>
      <c r="N13" s="10">
        <f>N14+N15</f>
        <v>0</v>
      </c>
      <c r="O13" s="10">
        <f>O14+O15</f>
        <v>0</v>
      </c>
      <c r="P13" s="10">
        <f t="shared" si="3"/>
        <v>0</v>
      </c>
      <c r="Q13" s="10">
        <f t="shared" si="3"/>
        <v>0</v>
      </c>
      <c r="R13" s="10">
        <f t="shared" si="3"/>
        <v>0</v>
      </c>
      <c r="S13" s="10">
        <f t="shared" si="3"/>
        <v>0</v>
      </c>
      <c r="T13" s="10">
        <f t="shared" si="3"/>
        <v>0</v>
      </c>
      <c r="U13" s="10">
        <f t="shared" si="3"/>
        <v>0</v>
      </c>
      <c r="V13" s="10">
        <f t="shared" si="3"/>
        <v>0</v>
      </c>
      <c r="W13" s="10">
        <f t="shared" si="3"/>
        <v>0</v>
      </c>
      <c r="X13" s="10">
        <f t="shared" si="3"/>
        <v>0</v>
      </c>
      <c r="Y13" s="10">
        <f t="shared" si="3"/>
        <v>0</v>
      </c>
      <c r="Z13" s="10">
        <f t="shared" si="3"/>
        <v>0</v>
      </c>
      <c r="AA13" s="10">
        <f t="shared" si="3"/>
        <v>0</v>
      </c>
      <c r="AB13" s="10">
        <f t="shared" si="3"/>
        <v>0</v>
      </c>
      <c r="AC13" s="10">
        <f t="shared" si="3"/>
        <v>0</v>
      </c>
      <c r="AD13" s="10">
        <f t="shared" si="3"/>
        <v>0</v>
      </c>
      <c r="AE13" s="10">
        <f t="shared" si="3"/>
        <v>0</v>
      </c>
      <c r="AF13" s="10">
        <f t="shared" si="3"/>
        <v>0</v>
      </c>
      <c r="AG13" s="74">
        <f t="shared" si="3"/>
        <v>0</v>
      </c>
      <c r="AH13" s="105">
        <f t="shared" si="3"/>
        <v>3000</v>
      </c>
      <c r="AI13" s="140">
        <f t="shared" si="3"/>
        <v>3000</v>
      </c>
    </row>
    <row r="14" spans="1:35" s="63" customFormat="1" ht="19.5" customHeight="1">
      <c r="A14" s="40" t="s">
        <v>12</v>
      </c>
      <c r="B14" s="106">
        <v>0.22</v>
      </c>
      <c r="C14" s="107">
        <f t="shared" si="2"/>
        <v>0</v>
      </c>
      <c r="D14" s="6"/>
      <c r="E14" s="6"/>
      <c r="F14" s="6"/>
      <c r="G14" s="6"/>
      <c r="H14" s="76"/>
      <c r="I14" s="76"/>
      <c r="J14" s="125">
        <f>K14+M14+N14+O14+P14+Q14+R14+S14+T14+U14+V14+W14+X14+Y14+Z14+AA14+AB14+AC14+AD14+AE14+AF14+AG14</f>
        <v>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5"/>
      <c r="AH14" s="112">
        <v>3000</v>
      </c>
      <c r="AI14" s="140">
        <f>C14+AH14+J14</f>
        <v>3000</v>
      </c>
    </row>
    <row r="15" spans="1:35" s="63" customFormat="1" ht="19.5" customHeight="1">
      <c r="A15" s="40" t="s">
        <v>13</v>
      </c>
      <c r="B15" s="106">
        <v>0.22</v>
      </c>
      <c r="C15" s="107">
        <f t="shared" si="2"/>
        <v>0</v>
      </c>
      <c r="D15" s="6"/>
      <c r="E15" s="6"/>
      <c r="F15" s="6"/>
      <c r="G15" s="6"/>
      <c r="H15" s="76"/>
      <c r="I15" s="76"/>
      <c r="J15" s="125">
        <f>K15+M15+N15+O15+P15+Q15+R15+S15+T15+U15+V15+W15+X15+Y15+Z15+AA15+AB15+AC15+AD15+AE15+AF15+AG15</f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5"/>
      <c r="AH15" s="112"/>
      <c r="AI15" s="140">
        <f>C15+AH15+J15</f>
        <v>0</v>
      </c>
    </row>
    <row r="16" spans="1:35" s="11" customFormat="1" ht="19.5" customHeight="1">
      <c r="A16" s="42" t="s">
        <v>49</v>
      </c>
      <c r="B16" s="106">
        <v>0.22</v>
      </c>
      <c r="C16" s="107">
        <f aca="true" t="shared" si="4" ref="C16:AI16">C17+C18</f>
        <v>30540</v>
      </c>
      <c r="D16" s="9">
        <f t="shared" si="4"/>
        <v>0</v>
      </c>
      <c r="E16" s="9"/>
      <c r="F16" s="9">
        <f t="shared" si="4"/>
        <v>19750</v>
      </c>
      <c r="G16" s="9">
        <f t="shared" si="4"/>
        <v>790</v>
      </c>
      <c r="H16" s="73"/>
      <c r="I16" s="73">
        <f t="shared" si="4"/>
        <v>10000</v>
      </c>
      <c r="J16" s="124">
        <f t="shared" si="4"/>
        <v>1200</v>
      </c>
      <c r="K16" s="10">
        <f>K17+K18</f>
        <v>1200</v>
      </c>
      <c r="L16" s="10"/>
      <c r="M16" s="10">
        <f>M17+M18</f>
        <v>0</v>
      </c>
      <c r="N16" s="10">
        <f>N17+N18</f>
        <v>0</v>
      </c>
      <c r="O16" s="10">
        <f>O17+O18</f>
        <v>0</v>
      </c>
      <c r="P16" s="10">
        <f t="shared" si="4"/>
        <v>0</v>
      </c>
      <c r="Q16" s="10">
        <f t="shared" si="4"/>
        <v>0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4"/>
        <v>0</v>
      </c>
      <c r="V16" s="10">
        <f t="shared" si="4"/>
        <v>0</v>
      </c>
      <c r="W16" s="10">
        <f t="shared" si="4"/>
        <v>0</v>
      </c>
      <c r="X16" s="10">
        <f t="shared" si="4"/>
        <v>0</v>
      </c>
      <c r="Y16" s="10">
        <f t="shared" si="4"/>
        <v>0</v>
      </c>
      <c r="Z16" s="10">
        <f t="shared" si="4"/>
        <v>0</v>
      </c>
      <c r="AA16" s="10">
        <f t="shared" si="4"/>
        <v>0</v>
      </c>
      <c r="AB16" s="10">
        <f t="shared" si="4"/>
        <v>0</v>
      </c>
      <c r="AC16" s="10">
        <f t="shared" si="4"/>
        <v>0</v>
      </c>
      <c r="AD16" s="10">
        <f t="shared" si="4"/>
        <v>0</v>
      </c>
      <c r="AE16" s="10">
        <f t="shared" si="4"/>
        <v>0</v>
      </c>
      <c r="AF16" s="10">
        <f t="shared" si="4"/>
        <v>0</v>
      </c>
      <c r="AG16" s="74">
        <f t="shared" si="4"/>
        <v>0</v>
      </c>
      <c r="AH16" s="105">
        <f t="shared" si="4"/>
        <v>3000</v>
      </c>
      <c r="AI16" s="140">
        <f t="shared" si="4"/>
        <v>34740</v>
      </c>
    </row>
    <row r="17" spans="1:35" s="63" customFormat="1" ht="19.5" customHeight="1">
      <c r="A17" s="40" t="s">
        <v>12</v>
      </c>
      <c r="B17" s="106">
        <v>0.22</v>
      </c>
      <c r="C17" s="107">
        <f t="shared" si="2"/>
        <v>30540</v>
      </c>
      <c r="D17" s="6"/>
      <c r="E17" s="6"/>
      <c r="F17" s="6">
        <f>G17*25</f>
        <v>19750</v>
      </c>
      <c r="G17" s="6">
        <v>790</v>
      </c>
      <c r="H17" s="76"/>
      <c r="I17" s="76">
        <v>10000</v>
      </c>
      <c r="J17" s="125">
        <f>K17+M17+N17+O17+P17+Q17+R17+S17+T17+U17+V17+W17+X17+Y17+Z17+AA17+AB17+AC17+AD17+AE17+AF17+AG17</f>
        <v>1200</v>
      </c>
      <c r="K17" s="7">
        <v>1200</v>
      </c>
      <c r="L17" s="7">
        <v>1000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5"/>
      <c r="AH17" s="112">
        <v>3000</v>
      </c>
      <c r="AI17" s="140">
        <f>C17+AH17+J17</f>
        <v>34740</v>
      </c>
    </row>
    <row r="18" spans="1:35" s="63" customFormat="1" ht="19.5" customHeight="1" thickBot="1">
      <c r="A18" s="40" t="s">
        <v>13</v>
      </c>
      <c r="B18" s="106">
        <v>0.22</v>
      </c>
      <c r="C18" s="107">
        <f t="shared" si="2"/>
        <v>0</v>
      </c>
      <c r="D18" s="6"/>
      <c r="E18" s="6"/>
      <c r="F18" s="6"/>
      <c r="G18" s="6"/>
      <c r="H18" s="76"/>
      <c r="I18" s="48"/>
      <c r="J18" s="126">
        <f>K18+M18+N18+O18+P18+Q18+R18+S18+T18+U18+V18+W18+X18+Y18+Z18+AA18+AB18+AC18+AD18+AE18+AF18+AG18</f>
        <v>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5"/>
      <c r="AH18" s="112"/>
      <c r="AI18" s="140">
        <f>C18+AH18+J18</f>
        <v>0</v>
      </c>
    </row>
    <row r="19" spans="1:35" s="22" customFormat="1" ht="19.5" customHeight="1">
      <c r="A19" s="36" t="s">
        <v>14</v>
      </c>
      <c r="B19" s="106">
        <v>0.22</v>
      </c>
      <c r="C19" s="113">
        <f aca="true" t="shared" si="5" ref="C19:AI21">C10+C13+C16</f>
        <v>116200</v>
      </c>
      <c r="D19" s="68">
        <f t="shared" si="5"/>
        <v>0</v>
      </c>
      <c r="E19" s="68"/>
      <c r="F19" s="68">
        <f t="shared" si="5"/>
        <v>92500</v>
      </c>
      <c r="G19" s="68">
        <f t="shared" si="5"/>
        <v>3700</v>
      </c>
      <c r="H19" s="68"/>
      <c r="I19" s="68">
        <f t="shared" si="5"/>
        <v>20000</v>
      </c>
      <c r="J19" s="113">
        <f t="shared" si="5"/>
        <v>2400</v>
      </c>
      <c r="K19" s="68">
        <f t="shared" si="5"/>
        <v>2400</v>
      </c>
      <c r="L19" s="68"/>
      <c r="M19" s="68">
        <f t="shared" si="5"/>
        <v>0</v>
      </c>
      <c r="N19" s="68">
        <f t="shared" si="5"/>
        <v>0</v>
      </c>
      <c r="O19" s="68">
        <f t="shared" si="5"/>
        <v>0</v>
      </c>
      <c r="P19" s="68">
        <f t="shared" si="5"/>
        <v>0</v>
      </c>
      <c r="Q19" s="68">
        <f t="shared" si="5"/>
        <v>0</v>
      </c>
      <c r="R19" s="68">
        <f t="shared" si="5"/>
        <v>0</v>
      </c>
      <c r="S19" s="68">
        <f t="shared" si="5"/>
        <v>0</v>
      </c>
      <c r="T19" s="68">
        <f t="shared" si="5"/>
        <v>0</v>
      </c>
      <c r="U19" s="68">
        <f t="shared" si="5"/>
        <v>0</v>
      </c>
      <c r="V19" s="68">
        <f t="shared" si="5"/>
        <v>0</v>
      </c>
      <c r="W19" s="68">
        <f t="shared" si="5"/>
        <v>0</v>
      </c>
      <c r="X19" s="68">
        <f t="shared" si="5"/>
        <v>0</v>
      </c>
      <c r="Y19" s="68">
        <f t="shared" si="5"/>
        <v>0</v>
      </c>
      <c r="Z19" s="68">
        <f t="shared" si="5"/>
        <v>0</v>
      </c>
      <c r="AA19" s="68">
        <f t="shared" si="5"/>
        <v>0</v>
      </c>
      <c r="AB19" s="68">
        <f t="shared" si="5"/>
        <v>0</v>
      </c>
      <c r="AC19" s="68">
        <f t="shared" si="5"/>
        <v>0</v>
      </c>
      <c r="AD19" s="68">
        <f t="shared" si="5"/>
        <v>0</v>
      </c>
      <c r="AE19" s="68">
        <f t="shared" si="5"/>
        <v>0</v>
      </c>
      <c r="AF19" s="68">
        <f t="shared" si="5"/>
        <v>0</v>
      </c>
      <c r="AG19" s="68">
        <f t="shared" si="5"/>
        <v>0</v>
      </c>
      <c r="AH19" s="113">
        <f t="shared" si="5"/>
        <v>9000</v>
      </c>
      <c r="AI19" s="142">
        <f t="shared" si="5"/>
        <v>127600</v>
      </c>
    </row>
    <row r="20" spans="1:35" s="23" customFormat="1" ht="30.75" customHeight="1">
      <c r="A20" s="43" t="s">
        <v>12</v>
      </c>
      <c r="B20" s="106">
        <v>0.22</v>
      </c>
      <c r="C20" s="114">
        <f aca="true" t="shared" si="6" ref="C20:I21">C11+C14+C17</f>
        <v>116200</v>
      </c>
      <c r="D20" s="28">
        <f t="shared" si="6"/>
        <v>0</v>
      </c>
      <c r="E20" s="28"/>
      <c r="F20" s="28">
        <f t="shared" si="6"/>
        <v>92500</v>
      </c>
      <c r="G20" s="28">
        <f t="shared" si="6"/>
        <v>3700</v>
      </c>
      <c r="H20" s="28"/>
      <c r="I20" s="28">
        <f t="shared" si="6"/>
        <v>20000</v>
      </c>
      <c r="J20" s="114">
        <f t="shared" si="5"/>
        <v>2400</v>
      </c>
      <c r="K20" s="28">
        <f t="shared" si="5"/>
        <v>2400</v>
      </c>
      <c r="L20" s="28"/>
      <c r="M20" s="28">
        <f t="shared" si="5"/>
        <v>0</v>
      </c>
      <c r="N20" s="28">
        <f t="shared" si="5"/>
        <v>0</v>
      </c>
      <c r="O20" s="28">
        <f t="shared" si="5"/>
        <v>0</v>
      </c>
      <c r="P20" s="28">
        <f t="shared" si="5"/>
        <v>0</v>
      </c>
      <c r="Q20" s="28">
        <f t="shared" si="5"/>
        <v>0</v>
      </c>
      <c r="R20" s="28">
        <f t="shared" si="5"/>
        <v>0</v>
      </c>
      <c r="S20" s="28">
        <f t="shared" si="5"/>
        <v>0</v>
      </c>
      <c r="T20" s="28">
        <f t="shared" si="5"/>
        <v>0</v>
      </c>
      <c r="U20" s="28">
        <f t="shared" si="5"/>
        <v>0</v>
      </c>
      <c r="V20" s="28">
        <f t="shared" si="5"/>
        <v>0</v>
      </c>
      <c r="W20" s="28">
        <f t="shared" si="5"/>
        <v>0</v>
      </c>
      <c r="X20" s="28">
        <f t="shared" si="5"/>
        <v>0</v>
      </c>
      <c r="Y20" s="28">
        <f t="shared" si="5"/>
        <v>0</v>
      </c>
      <c r="Z20" s="28">
        <f t="shared" si="5"/>
        <v>0</v>
      </c>
      <c r="AA20" s="28">
        <f t="shared" si="5"/>
        <v>0</v>
      </c>
      <c r="AB20" s="28">
        <f t="shared" si="5"/>
        <v>0</v>
      </c>
      <c r="AC20" s="28">
        <f t="shared" si="5"/>
        <v>0</v>
      </c>
      <c r="AD20" s="28">
        <f t="shared" si="5"/>
        <v>0</v>
      </c>
      <c r="AE20" s="28">
        <f t="shared" si="5"/>
        <v>0</v>
      </c>
      <c r="AF20" s="28">
        <f t="shared" si="5"/>
        <v>0</v>
      </c>
      <c r="AG20" s="28">
        <f t="shared" si="5"/>
        <v>0</v>
      </c>
      <c r="AH20" s="114">
        <f t="shared" si="5"/>
        <v>9000</v>
      </c>
      <c r="AI20" s="143">
        <f t="shared" si="5"/>
        <v>127600</v>
      </c>
    </row>
    <row r="21" spans="1:35" s="23" customFormat="1" ht="34.5" customHeight="1" thickBot="1">
      <c r="A21" s="44" t="s">
        <v>13</v>
      </c>
      <c r="B21" s="106">
        <v>0.22</v>
      </c>
      <c r="C21" s="115">
        <f t="shared" si="6"/>
        <v>0</v>
      </c>
      <c r="D21" s="69">
        <f t="shared" si="6"/>
        <v>0</v>
      </c>
      <c r="E21" s="69"/>
      <c r="F21" s="69">
        <f t="shared" si="6"/>
        <v>0</v>
      </c>
      <c r="G21" s="69">
        <f t="shared" si="6"/>
        <v>0</v>
      </c>
      <c r="H21" s="69"/>
      <c r="I21" s="69">
        <f t="shared" si="6"/>
        <v>0</v>
      </c>
      <c r="J21" s="115">
        <f t="shared" si="5"/>
        <v>0</v>
      </c>
      <c r="K21" s="69">
        <f t="shared" si="5"/>
        <v>0</v>
      </c>
      <c r="L21" s="69"/>
      <c r="M21" s="69">
        <f t="shared" si="5"/>
        <v>0</v>
      </c>
      <c r="N21" s="69">
        <f t="shared" si="5"/>
        <v>0</v>
      </c>
      <c r="O21" s="69">
        <f t="shared" si="5"/>
        <v>0</v>
      </c>
      <c r="P21" s="69">
        <f t="shared" si="5"/>
        <v>0</v>
      </c>
      <c r="Q21" s="69">
        <f t="shared" si="5"/>
        <v>0</v>
      </c>
      <c r="R21" s="69">
        <f t="shared" si="5"/>
        <v>0</v>
      </c>
      <c r="S21" s="69">
        <f t="shared" si="5"/>
        <v>0</v>
      </c>
      <c r="T21" s="69">
        <f t="shared" si="5"/>
        <v>0</v>
      </c>
      <c r="U21" s="69">
        <f t="shared" si="5"/>
        <v>0</v>
      </c>
      <c r="V21" s="69">
        <f t="shared" si="5"/>
        <v>0</v>
      </c>
      <c r="W21" s="69">
        <f t="shared" si="5"/>
        <v>0</v>
      </c>
      <c r="X21" s="69">
        <f t="shared" si="5"/>
        <v>0</v>
      </c>
      <c r="Y21" s="69">
        <f t="shared" si="5"/>
        <v>0</v>
      </c>
      <c r="Z21" s="69">
        <f t="shared" si="5"/>
        <v>0</v>
      </c>
      <c r="AA21" s="69">
        <f t="shared" si="5"/>
        <v>0</v>
      </c>
      <c r="AB21" s="69">
        <f t="shared" si="5"/>
        <v>0</v>
      </c>
      <c r="AC21" s="69">
        <f t="shared" si="5"/>
        <v>0</v>
      </c>
      <c r="AD21" s="69">
        <f t="shared" si="5"/>
        <v>0</v>
      </c>
      <c r="AE21" s="69">
        <f t="shared" si="5"/>
        <v>0</v>
      </c>
      <c r="AF21" s="69">
        <f t="shared" si="5"/>
        <v>0</v>
      </c>
      <c r="AG21" s="69">
        <f t="shared" si="5"/>
        <v>0</v>
      </c>
      <c r="AH21" s="115">
        <f t="shared" si="5"/>
        <v>0</v>
      </c>
      <c r="AI21" s="144">
        <f t="shared" si="5"/>
        <v>0</v>
      </c>
    </row>
    <row r="22" spans="1:37" s="25" customFormat="1" ht="36" customHeight="1">
      <c r="A22" s="45" t="s">
        <v>30</v>
      </c>
      <c r="B22" s="106">
        <v>0.22</v>
      </c>
      <c r="C22" s="102">
        <f aca="true" t="shared" si="7" ref="C22:AI22">C9+C20</f>
        <v>291880</v>
      </c>
      <c r="D22" s="24">
        <f t="shared" si="7"/>
        <v>38880</v>
      </c>
      <c r="E22" s="24"/>
      <c r="F22" s="24">
        <f t="shared" si="7"/>
        <v>200000</v>
      </c>
      <c r="G22" s="24">
        <f t="shared" si="7"/>
        <v>8000</v>
      </c>
      <c r="H22" s="34"/>
      <c r="I22" s="33">
        <f t="shared" si="7"/>
        <v>45000</v>
      </c>
      <c r="J22" s="102">
        <f t="shared" si="7"/>
        <v>16800</v>
      </c>
      <c r="K22" s="24">
        <f t="shared" si="7"/>
        <v>4800</v>
      </c>
      <c r="L22" s="24"/>
      <c r="M22" s="24">
        <f t="shared" si="7"/>
        <v>12000</v>
      </c>
      <c r="N22" s="24">
        <f t="shared" si="7"/>
        <v>0</v>
      </c>
      <c r="O22" s="24">
        <f t="shared" si="7"/>
        <v>0</v>
      </c>
      <c r="P22" s="24">
        <f t="shared" si="7"/>
        <v>0</v>
      </c>
      <c r="Q22" s="24">
        <f t="shared" si="7"/>
        <v>0</v>
      </c>
      <c r="R22" s="24">
        <f t="shared" si="7"/>
        <v>0</v>
      </c>
      <c r="S22" s="24">
        <f t="shared" si="7"/>
        <v>0</v>
      </c>
      <c r="T22" s="24">
        <f t="shared" si="7"/>
        <v>0</v>
      </c>
      <c r="U22" s="24">
        <f t="shared" si="7"/>
        <v>0</v>
      </c>
      <c r="V22" s="24">
        <f t="shared" si="7"/>
        <v>0</v>
      </c>
      <c r="W22" s="24">
        <f t="shared" si="7"/>
        <v>0</v>
      </c>
      <c r="X22" s="24">
        <f t="shared" si="7"/>
        <v>0</v>
      </c>
      <c r="Y22" s="24">
        <f t="shared" si="7"/>
        <v>0</v>
      </c>
      <c r="Z22" s="24">
        <f t="shared" si="7"/>
        <v>0</v>
      </c>
      <c r="AA22" s="24">
        <f t="shared" si="7"/>
        <v>0</v>
      </c>
      <c r="AB22" s="24">
        <f t="shared" si="7"/>
        <v>0</v>
      </c>
      <c r="AC22" s="24">
        <f t="shared" si="7"/>
        <v>0</v>
      </c>
      <c r="AD22" s="24">
        <f t="shared" si="7"/>
        <v>0</v>
      </c>
      <c r="AE22" s="24">
        <f t="shared" si="7"/>
        <v>0</v>
      </c>
      <c r="AF22" s="24">
        <f t="shared" si="7"/>
        <v>0</v>
      </c>
      <c r="AG22" s="33">
        <f t="shared" si="7"/>
        <v>0</v>
      </c>
      <c r="AH22" s="116">
        <f t="shared" si="7"/>
        <v>15000</v>
      </c>
      <c r="AI22" s="145">
        <f t="shared" si="7"/>
        <v>323680</v>
      </c>
      <c r="AK22" s="26"/>
    </row>
    <row r="23" spans="1:35" s="25" customFormat="1" ht="43.5" customHeight="1" thickBot="1">
      <c r="A23" s="46" t="s">
        <v>31</v>
      </c>
      <c r="B23" s="106">
        <v>0.22</v>
      </c>
      <c r="C23" s="103">
        <f aca="true" t="shared" si="8" ref="C23:AI23">C21</f>
        <v>0</v>
      </c>
      <c r="D23" s="78">
        <f t="shared" si="8"/>
        <v>0</v>
      </c>
      <c r="E23" s="78"/>
      <c r="F23" s="78">
        <f t="shared" si="8"/>
        <v>0</v>
      </c>
      <c r="G23" s="78">
        <f t="shared" si="8"/>
        <v>0</v>
      </c>
      <c r="H23" s="161"/>
      <c r="I23" s="79">
        <f t="shared" si="8"/>
        <v>0</v>
      </c>
      <c r="J23" s="103">
        <f t="shared" si="8"/>
        <v>0</v>
      </c>
      <c r="K23" s="78">
        <f t="shared" si="8"/>
        <v>0</v>
      </c>
      <c r="L23" s="78"/>
      <c r="M23" s="78">
        <f t="shared" si="8"/>
        <v>0</v>
      </c>
      <c r="N23" s="78">
        <f t="shared" si="8"/>
        <v>0</v>
      </c>
      <c r="O23" s="78">
        <f t="shared" si="8"/>
        <v>0</v>
      </c>
      <c r="P23" s="78">
        <f t="shared" si="8"/>
        <v>0</v>
      </c>
      <c r="Q23" s="78">
        <f t="shared" si="8"/>
        <v>0</v>
      </c>
      <c r="R23" s="78">
        <f t="shared" si="8"/>
        <v>0</v>
      </c>
      <c r="S23" s="78">
        <f t="shared" si="8"/>
        <v>0</v>
      </c>
      <c r="T23" s="78">
        <f t="shared" si="8"/>
        <v>0</v>
      </c>
      <c r="U23" s="78">
        <f t="shared" si="8"/>
        <v>0</v>
      </c>
      <c r="V23" s="78">
        <f t="shared" si="8"/>
        <v>0</v>
      </c>
      <c r="W23" s="78">
        <f t="shared" si="8"/>
        <v>0</v>
      </c>
      <c r="X23" s="78">
        <f t="shared" si="8"/>
        <v>0</v>
      </c>
      <c r="Y23" s="78">
        <f t="shared" si="8"/>
        <v>0</v>
      </c>
      <c r="Z23" s="78">
        <f t="shared" si="8"/>
        <v>0</v>
      </c>
      <c r="AA23" s="78">
        <f t="shared" si="8"/>
        <v>0</v>
      </c>
      <c r="AB23" s="78">
        <f t="shared" si="8"/>
        <v>0</v>
      </c>
      <c r="AC23" s="78">
        <f t="shared" si="8"/>
        <v>0</v>
      </c>
      <c r="AD23" s="78">
        <f t="shared" si="8"/>
        <v>0</v>
      </c>
      <c r="AE23" s="78">
        <f t="shared" si="8"/>
        <v>0</v>
      </c>
      <c r="AF23" s="78">
        <f t="shared" si="8"/>
        <v>0</v>
      </c>
      <c r="AG23" s="79">
        <f t="shared" si="8"/>
        <v>0</v>
      </c>
      <c r="AH23" s="117">
        <f t="shared" si="8"/>
        <v>0</v>
      </c>
      <c r="AI23" s="146">
        <f t="shared" si="8"/>
        <v>0</v>
      </c>
    </row>
    <row r="24" spans="1:35" s="22" customFormat="1" ht="33.75" customHeight="1" thickBot="1">
      <c r="A24" s="39" t="s">
        <v>15</v>
      </c>
      <c r="B24" s="106">
        <v>0.22</v>
      </c>
      <c r="C24" s="111">
        <f aca="true" t="shared" si="9" ref="C24:AI24">SUM(C22:C23)</f>
        <v>291880</v>
      </c>
      <c r="D24" s="20">
        <f>SUM(D22:D23)</f>
        <v>38880</v>
      </c>
      <c r="E24" s="20">
        <f>SUM(E22:E23)</f>
        <v>0</v>
      </c>
      <c r="F24" s="20">
        <f>SUM(F22:F23)</f>
        <v>200000</v>
      </c>
      <c r="G24" s="20">
        <f>SUM(G22:G23)</f>
        <v>8000</v>
      </c>
      <c r="H24" s="160"/>
      <c r="I24" s="50">
        <f>SUM(I22:I23)</f>
        <v>45000</v>
      </c>
      <c r="J24" s="96">
        <f t="shared" si="9"/>
        <v>16800</v>
      </c>
      <c r="K24" s="21">
        <f>SUM(K22:K23)</f>
        <v>4800</v>
      </c>
      <c r="L24" s="21"/>
      <c r="M24" s="21">
        <f>SUM(M22:M23)</f>
        <v>12000</v>
      </c>
      <c r="N24" s="37">
        <f>SUM(N22:N23)</f>
        <v>0</v>
      </c>
      <c r="O24" s="37">
        <f>SUM(O22:O23)</f>
        <v>0</v>
      </c>
      <c r="P24" s="37">
        <f t="shared" si="9"/>
        <v>0</v>
      </c>
      <c r="Q24" s="37">
        <f t="shared" si="9"/>
        <v>0</v>
      </c>
      <c r="R24" s="37">
        <f t="shared" si="9"/>
        <v>0</v>
      </c>
      <c r="S24" s="37">
        <f t="shared" si="9"/>
        <v>0</v>
      </c>
      <c r="T24" s="37">
        <f t="shared" si="9"/>
        <v>0</v>
      </c>
      <c r="U24" s="37">
        <f t="shared" si="9"/>
        <v>0</v>
      </c>
      <c r="V24" s="37">
        <f t="shared" si="9"/>
        <v>0</v>
      </c>
      <c r="W24" s="37">
        <f t="shared" si="9"/>
        <v>0</v>
      </c>
      <c r="X24" s="37">
        <f t="shared" si="9"/>
        <v>0</v>
      </c>
      <c r="Y24" s="37">
        <f t="shared" si="9"/>
        <v>0</v>
      </c>
      <c r="Z24" s="37">
        <f t="shared" si="9"/>
        <v>0</v>
      </c>
      <c r="AA24" s="37">
        <f t="shared" si="9"/>
        <v>0</v>
      </c>
      <c r="AB24" s="37">
        <f t="shared" si="9"/>
        <v>0</v>
      </c>
      <c r="AC24" s="37">
        <f t="shared" si="9"/>
        <v>0</v>
      </c>
      <c r="AD24" s="37">
        <f t="shared" si="9"/>
        <v>0</v>
      </c>
      <c r="AE24" s="37">
        <f t="shared" si="9"/>
        <v>0</v>
      </c>
      <c r="AF24" s="37">
        <f t="shared" si="9"/>
        <v>0</v>
      </c>
      <c r="AG24" s="58">
        <f t="shared" si="9"/>
        <v>0</v>
      </c>
      <c r="AH24" s="118">
        <f t="shared" si="9"/>
        <v>15000</v>
      </c>
      <c r="AI24" s="141">
        <f t="shared" si="9"/>
        <v>323680</v>
      </c>
    </row>
  </sheetData>
  <sheetProtection/>
  <printOptions/>
  <pageMargins left="0.6" right="0.1968503937007874" top="0" bottom="0" header="0.54" footer="0.5118110236220472"/>
  <pageSetup fitToWidth="2" horizontalDpi="600" verticalDpi="600" orientation="landscape" paperSize="9" scale="55" r:id="rId1"/>
  <colBreaks count="1" manualBreakCount="1">
    <brk id="22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E270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K1" sqref="K1"/>
      <selection pane="bottomLeft" activeCell="A9" sqref="A9"/>
      <selection pane="bottomRight" activeCell="B8" sqref="B8"/>
    </sheetView>
  </sheetViews>
  <sheetFormatPr defaultColWidth="9.00390625" defaultRowHeight="12.75"/>
  <cols>
    <col min="1" max="1" width="5.00390625" style="177" customWidth="1"/>
    <col min="2" max="2" width="34.375" style="183" customWidth="1"/>
    <col min="3" max="3" width="14.00390625" style="0" customWidth="1"/>
    <col min="4" max="15" width="14.875" style="0" hidden="1" customWidth="1"/>
    <col min="16" max="16" width="26.625" style="0" customWidth="1"/>
    <col min="17" max="17" width="14.375" style="0" hidden="1" customWidth="1"/>
    <col min="18" max="18" width="12.375" style="0" hidden="1" customWidth="1"/>
    <col min="19" max="19" width="8.375" style="0" hidden="1" customWidth="1"/>
    <col min="20" max="20" width="22.375" style="0" hidden="1" customWidth="1"/>
    <col min="21" max="21" width="12.375" style="0" customWidth="1"/>
    <col min="22" max="22" width="15.625" style="0" customWidth="1"/>
    <col min="23" max="23" width="17.125" style="0" customWidth="1"/>
    <col min="24" max="24" width="17.125" style="0" hidden="1" customWidth="1"/>
    <col min="25" max="25" width="39.375" style="0" hidden="1" customWidth="1"/>
    <col min="26" max="26" width="17.125" style="0" hidden="1" customWidth="1"/>
    <col min="27" max="27" width="0" style="0" hidden="1" customWidth="1"/>
    <col min="28" max="29" width="15.875" style="0" customWidth="1"/>
    <col min="30" max="30" width="19.00390625" style="0" customWidth="1"/>
    <col min="31" max="31" width="10.875" style="0" customWidth="1"/>
    <col min="32" max="32" width="9.625" style="0" bestFit="1" customWidth="1"/>
  </cols>
  <sheetData>
    <row r="1" spans="2:20" ht="18">
      <c r="B1" s="230" t="s">
        <v>119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2:20" ht="44.25" customHeight="1">
      <c r="B2" s="349" t="s">
        <v>118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186"/>
      <c r="R2" s="186"/>
      <c r="S2" s="186"/>
      <c r="T2" s="186"/>
    </row>
    <row r="3" ht="13.5" thickBot="1">
      <c r="A3" s="177" t="s">
        <v>72</v>
      </c>
    </row>
    <row r="4" spans="1:31" s="11" customFormat="1" ht="58.5" customHeight="1">
      <c r="A4" s="341" t="s">
        <v>67</v>
      </c>
      <c r="B4" s="343" t="s">
        <v>68</v>
      </c>
      <c r="C4" s="345" t="s">
        <v>109</v>
      </c>
      <c r="D4" s="350" t="s">
        <v>106</v>
      </c>
      <c r="E4" s="350" t="s">
        <v>107</v>
      </c>
      <c r="F4" s="335" t="s">
        <v>92</v>
      </c>
      <c r="G4" s="335" t="s">
        <v>93</v>
      </c>
      <c r="H4" s="335" t="s">
        <v>94</v>
      </c>
      <c r="I4" s="335" t="s">
        <v>95</v>
      </c>
      <c r="J4" s="335" t="s">
        <v>96</v>
      </c>
      <c r="K4" s="335" t="s">
        <v>97</v>
      </c>
      <c r="L4" s="335" t="s">
        <v>49</v>
      </c>
      <c r="M4" s="335" t="s">
        <v>98</v>
      </c>
      <c r="N4" s="335" t="s">
        <v>99</v>
      </c>
      <c r="O4" s="335" t="s">
        <v>100</v>
      </c>
      <c r="P4" s="335" t="s">
        <v>101</v>
      </c>
      <c r="Q4" s="337" t="s">
        <v>69</v>
      </c>
      <c r="R4" s="337" t="s">
        <v>108</v>
      </c>
      <c r="S4" s="337" t="s">
        <v>70</v>
      </c>
      <c r="T4" s="339" t="s">
        <v>71</v>
      </c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s="11" customFormat="1" ht="15.75" customHeight="1" thickBot="1">
      <c r="A5" s="342"/>
      <c r="B5" s="344"/>
      <c r="C5" s="346"/>
      <c r="D5" s="351"/>
      <c r="E5" s="351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8"/>
      <c r="R5" s="338"/>
      <c r="S5" s="338"/>
      <c r="T5" s="34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</row>
    <row r="6" spans="1:31" s="11" customFormat="1" ht="13.5" customHeight="1">
      <c r="A6" s="200">
        <v>1</v>
      </c>
      <c r="B6" s="201">
        <v>2</v>
      </c>
      <c r="C6" s="187">
        <v>5</v>
      </c>
      <c r="D6" s="213"/>
      <c r="E6" s="213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214">
        <v>8</v>
      </c>
      <c r="R6" s="200">
        <v>9</v>
      </c>
      <c r="S6" s="200">
        <v>10</v>
      </c>
      <c r="T6" s="200">
        <v>11</v>
      </c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</row>
    <row r="7" spans="1:31" s="11" customFormat="1" ht="28.5" customHeight="1">
      <c r="A7" s="202">
        <v>2730</v>
      </c>
      <c r="B7" s="204" t="s">
        <v>86</v>
      </c>
      <c r="C7" s="215">
        <f>C8</f>
        <v>5430</v>
      </c>
      <c r="D7" s="215">
        <f aca="true" t="shared" si="0" ref="D7:P7">D8</f>
        <v>0</v>
      </c>
      <c r="E7" s="215">
        <f t="shared" si="0"/>
        <v>0</v>
      </c>
      <c r="F7" s="215">
        <f t="shared" si="0"/>
        <v>0</v>
      </c>
      <c r="G7" s="215">
        <f t="shared" si="0"/>
        <v>0</v>
      </c>
      <c r="H7" s="215">
        <f t="shared" si="0"/>
        <v>0</v>
      </c>
      <c r="I7" s="215">
        <f t="shared" si="0"/>
        <v>0</v>
      </c>
      <c r="J7" s="215">
        <f t="shared" si="0"/>
        <v>0</v>
      </c>
      <c r="K7" s="215">
        <f t="shared" si="0"/>
        <v>0</v>
      </c>
      <c r="L7" s="215">
        <f t="shared" si="0"/>
        <v>0</v>
      </c>
      <c r="M7" s="215">
        <f t="shared" si="0"/>
        <v>0</v>
      </c>
      <c r="N7" s="215">
        <f t="shared" si="0"/>
        <v>0</v>
      </c>
      <c r="O7" s="215">
        <f t="shared" si="0"/>
        <v>0</v>
      </c>
      <c r="P7" s="215">
        <f t="shared" si="0"/>
        <v>5430</v>
      </c>
      <c r="Q7" s="203"/>
      <c r="R7" s="203"/>
      <c r="S7" s="203"/>
      <c r="T7" s="216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</row>
    <row r="8" spans="1:31" s="11" customFormat="1" ht="24" customHeight="1">
      <c r="A8" s="202"/>
      <c r="B8" s="217" t="s">
        <v>110</v>
      </c>
      <c r="C8" s="208">
        <f>SUM(D8:P8)</f>
        <v>5430</v>
      </c>
      <c r="D8" s="208"/>
      <c r="E8" s="208"/>
      <c r="F8" s="208"/>
      <c r="G8" s="208">
        <f aca="true" t="shared" si="1" ref="G8:O8">SUM(G9:G11)</f>
        <v>0</v>
      </c>
      <c r="H8" s="208"/>
      <c r="I8" s="208">
        <f t="shared" si="1"/>
        <v>0</v>
      </c>
      <c r="J8" s="208">
        <f t="shared" si="1"/>
        <v>0</v>
      </c>
      <c r="K8" s="208"/>
      <c r="L8" s="208">
        <f t="shared" si="1"/>
        <v>0</v>
      </c>
      <c r="M8" s="208"/>
      <c r="N8" s="208">
        <f t="shared" si="1"/>
        <v>0</v>
      </c>
      <c r="O8" s="212">
        <f t="shared" si="1"/>
        <v>0</v>
      </c>
      <c r="P8" s="212">
        <f>3*1810</f>
        <v>5430</v>
      </c>
      <c r="Q8" s="218"/>
      <c r="R8" s="218"/>
      <c r="S8" s="218"/>
      <c r="T8" s="219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s="11" customFormat="1" ht="15" customHeight="1">
      <c r="A9" s="202"/>
      <c r="B9" s="220"/>
      <c r="C9" s="221"/>
      <c r="D9" s="193"/>
      <c r="E9" s="193"/>
      <c r="F9" s="194"/>
      <c r="G9" s="194"/>
      <c r="H9" s="194"/>
      <c r="I9" s="194"/>
      <c r="J9" s="194"/>
      <c r="K9" s="194"/>
      <c r="L9" s="194"/>
      <c r="M9" s="194"/>
      <c r="N9" s="194"/>
      <c r="O9" s="222"/>
      <c r="P9" s="222"/>
      <c r="Q9" s="218"/>
      <c r="R9" s="218"/>
      <c r="S9" s="218"/>
      <c r="T9" s="219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</row>
    <row r="10" spans="1:31" s="11" customFormat="1" ht="15" customHeight="1">
      <c r="A10" s="202"/>
      <c r="B10" s="220"/>
      <c r="C10" s="221"/>
      <c r="D10" s="193"/>
      <c r="E10" s="193"/>
      <c r="F10" s="194"/>
      <c r="G10" s="194"/>
      <c r="H10" s="194"/>
      <c r="I10" s="194"/>
      <c r="J10" s="194"/>
      <c r="K10" s="194"/>
      <c r="L10" s="194"/>
      <c r="M10" s="194"/>
      <c r="N10" s="194"/>
      <c r="O10" s="222"/>
      <c r="P10" s="222"/>
      <c r="Q10" s="218"/>
      <c r="R10" s="218"/>
      <c r="S10" s="218"/>
      <c r="T10" s="219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1:31" s="11" customFormat="1" ht="15">
      <c r="A11" s="209"/>
      <c r="B11" s="162"/>
      <c r="C11" s="221"/>
      <c r="D11" s="190"/>
      <c r="E11" s="190"/>
      <c r="F11" s="191"/>
      <c r="G11" s="191"/>
      <c r="H11" s="191"/>
      <c r="I11" s="191"/>
      <c r="J11" s="191"/>
      <c r="K11" s="191"/>
      <c r="L11" s="191"/>
      <c r="M11" s="191"/>
      <c r="N11" s="191"/>
      <c r="O11" s="222"/>
      <c r="P11" s="222"/>
      <c r="Q11" s="223"/>
      <c r="R11" s="223"/>
      <c r="S11" s="223"/>
      <c r="T11" s="224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</row>
    <row r="12" spans="1:31" s="11" customFormat="1" ht="15" customHeight="1" thickBot="1">
      <c r="A12" s="207"/>
      <c r="B12" s="205"/>
      <c r="C12" s="225"/>
      <c r="D12" s="226"/>
      <c r="E12" s="226"/>
      <c r="F12" s="227"/>
      <c r="G12" s="227"/>
      <c r="H12" s="227"/>
      <c r="I12" s="227"/>
      <c r="J12" s="227"/>
      <c r="K12" s="227"/>
      <c r="L12" s="227"/>
      <c r="M12" s="227"/>
      <c r="N12" s="227"/>
      <c r="O12" s="211"/>
      <c r="P12" s="211"/>
      <c r="Q12" s="206"/>
      <c r="R12" s="206"/>
      <c r="S12" s="206"/>
      <c r="T12" s="224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</row>
    <row r="13" spans="1:31" s="11" customFormat="1" ht="22.5" customHeight="1" thickBot="1">
      <c r="A13" s="347" t="s">
        <v>90</v>
      </c>
      <c r="B13" s="348"/>
      <c r="C13" s="199">
        <f aca="true" t="shared" si="2" ref="C13:P13">C7</f>
        <v>5430</v>
      </c>
      <c r="D13" s="199">
        <f t="shared" si="2"/>
        <v>0</v>
      </c>
      <c r="E13" s="199">
        <f t="shared" si="2"/>
        <v>0</v>
      </c>
      <c r="F13" s="199">
        <f t="shared" si="2"/>
        <v>0</v>
      </c>
      <c r="G13" s="199">
        <f t="shared" si="2"/>
        <v>0</v>
      </c>
      <c r="H13" s="199">
        <f t="shared" si="2"/>
        <v>0</v>
      </c>
      <c r="I13" s="199">
        <f t="shared" si="2"/>
        <v>0</v>
      </c>
      <c r="J13" s="199">
        <f t="shared" si="2"/>
        <v>0</v>
      </c>
      <c r="K13" s="199">
        <f t="shared" si="2"/>
        <v>0</v>
      </c>
      <c r="L13" s="199">
        <f t="shared" si="2"/>
        <v>0</v>
      </c>
      <c r="M13" s="199">
        <f t="shared" si="2"/>
        <v>0</v>
      </c>
      <c r="N13" s="199">
        <f t="shared" si="2"/>
        <v>0</v>
      </c>
      <c r="O13" s="199">
        <f t="shared" si="2"/>
        <v>0</v>
      </c>
      <c r="P13" s="229">
        <f t="shared" si="2"/>
        <v>5430</v>
      </c>
      <c r="Q13" s="228"/>
      <c r="R13" s="199"/>
      <c r="S13" s="199"/>
      <c r="T13" s="199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</row>
    <row r="14" spans="3:16" ht="14.25"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</row>
    <row r="15" spans="1:16" ht="15.75">
      <c r="A15" s="181"/>
      <c r="B15" s="181"/>
      <c r="C15" s="181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</row>
    <row r="16" spans="1:9" s="182" customFormat="1" ht="59.25" customHeight="1">
      <c r="A16" s="181"/>
      <c r="B16" s="236" t="s">
        <v>102</v>
      </c>
      <c r="C16" s="233"/>
      <c r="I16" s="182" t="s">
        <v>115</v>
      </c>
    </row>
    <row r="17" spans="1:3" s="182" customFormat="1" ht="9" customHeight="1">
      <c r="A17" s="181"/>
      <c r="B17" s="237"/>
      <c r="C17" s="233"/>
    </row>
    <row r="18" spans="1:9" s="182" customFormat="1" ht="59.25" customHeight="1">
      <c r="A18" s="181"/>
      <c r="B18" s="236" t="s">
        <v>91</v>
      </c>
      <c r="C18" s="233"/>
      <c r="I18" s="182" t="s">
        <v>116</v>
      </c>
    </row>
    <row r="19" spans="1:3" ht="15.75">
      <c r="A19" s="182"/>
      <c r="B19" s="182"/>
      <c r="C19" s="182"/>
    </row>
    <row r="20" spans="1:3" ht="15.75">
      <c r="A20" s="182"/>
      <c r="B20" s="182"/>
      <c r="C20" s="182"/>
    </row>
    <row r="21" spans="1:3" ht="15.75">
      <c r="A21" s="182"/>
      <c r="B21" s="182"/>
      <c r="C21" s="182"/>
    </row>
    <row r="22" spans="1:3" ht="15.75">
      <c r="A22" s="182"/>
      <c r="B22" s="182"/>
      <c r="C22" s="182"/>
    </row>
    <row r="23" spans="1:3" ht="15.75">
      <c r="A23" s="182"/>
      <c r="B23" s="182"/>
      <c r="C23" s="182"/>
    </row>
    <row r="24" spans="1:3" ht="15.75">
      <c r="A24" s="182"/>
      <c r="B24" s="182"/>
      <c r="C24" s="182"/>
    </row>
    <row r="25" spans="1:3" ht="15.75">
      <c r="A25" s="182"/>
      <c r="B25" s="182"/>
      <c r="C25" s="182"/>
    </row>
    <row r="26" spans="1:3" ht="15.75">
      <c r="A26" s="182"/>
      <c r="B26" s="182"/>
      <c r="C26" s="182"/>
    </row>
    <row r="27" spans="1:3" ht="15.75">
      <c r="A27" s="182"/>
      <c r="B27" s="182"/>
      <c r="C27" s="182"/>
    </row>
    <row r="28" spans="1:3" ht="15.75">
      <c r="A28" s="182"/>
      <c r="B28" s="182"/>
      <c r="C28" s="182"/>
    </row>
    <row r="29" spans="1:3" ht="15.75">
      <c r="A29" s="182"/>
      <c r="B29" s="182"/>
      <c r="C29" s="182"/>
    </row>
    <row r="30" spans="1:3" ht="15.75">
      <c r="A30" s="182"/>
      <c r="B30" s="182"/>
      <c r="C30" s="182"/>
    </row>
    <row r="31" spans="1:3" ht="15.75">
      <c r="A31" s="182"/>
      <c r="B31" s="182"/>
      <c r="C31" s="182"/>
    </row>
    <row r="32" spans="1:3" ht="15.75">
      <c r="A32" s="182"/>
      <c r="B32" s="182"/>
      <c r="C32" s="182"/>
    </row>
    <row r="33" spans="1:3" ht="15.75">
      <c r="A33" s="182"/>
      <c r="B33" s="182"/>
      <c r="C33" s="182"/>
    </row>
    <row r="34" spans="1:3" ht="15.75">
      <c r="A34" s="182"/>
      <c r="B34" s="182"/>
      <c r="C34" s="182"/>
    </row>
    <row r="35" spans="1:3" ht="15.75">
      <c r="A35" s="182"/>
      <c r="B35" s="182"/>
      <c r="C35" s="182"/>
    </row>
    <row r="36" spans="1:3" ht="15.75">
      <c r="A36" s="182"/>
      <c r="B36" s="182"/>
      <c r="C36" s="182"/>
    </row>
    <row r="37" spans="1:3" ht="15.75">
      <c r="A37" s="182"/>
      <c r="B37" s="182"/>
      <c r="C37" s="182"/>
    </row>
    <row r="38" spans="1:3" ht="15.75">
      <c r="A38" s="182"/>
      <c r="B38" s="182"/>
      <c r="C38" s="182"/>
    </row>
    <row r="39" spans="1:3" ht="15.75">
      <c r="A39" s="182"/>
      <c r="B39" s="182"/>
      <c r="C39" s="182"/>
    </row>
    <row r="40" spans="1:3" ht="15.75">
      <c r="A40" s="182"/>
      <c r="B40" s="182"/>
      <c r="C40" s="182"/>
    </row>
    <row r="41" spans="1:3" ht="15.75">
      <c r="A41" s="182"/>
      <c r="B41" s="182"/>
      <c r="C41" s="182"/>
    </row>
    <row r="42" spans="1:3" ht="15.75">
      <c r="A42" s="182"/>
      <c r="B42" s="182"/>
      <c r="C42" s="182"/>
    </row>
    <row r="43" spans="1:3" ht="15.75">
      <c r="A43" s="182"/>
      <c r="B43" s="182"/>
      <c r="C43" s="182"/>
    </row>
    <row r="44" spans="1:3" ht="15.75">
      <c r="A44" s="182"/>
      <c r="B44" s="182"/>
      <c r="C44" s="182"/>
    </row>
    <row r="45" spans="1:3" ht="15.75">
      <c r="A45" s="182"/>
      <c r="B45" s="182"/>
      <c r="C45" s="182"/>
    </row>
    <row r="46" spans="1:3" ht="15.75">
      <c r="A46" s="182"/>
      <c r="B46" s="182"/>
      <c r="C46" s="182"/>
    </row>
    <row r="47" spans="1:3" ht="15.75">
      <c r="A47" s="182"/>
      <c r="B47" s="182"/>
      <c r="C47" s="182"/>
    </row>
    <row r="48" spans="1:3" ht="15.75">
      <c r="A48" s="182"/>
      <c r="B48" s="182"/>
      <c r="C48" s="182"/>
    </row>
    <row r="49" spans="1:3" ht="15.75">
      <c r="A49" s="182"/>
      <c r="B49" s="182"/>
      <c r="C49" s="182"/>
    </row>
    <row r="50" spans="1:3" ht="15.75">
      <c r="A50" s="182"/>
      <c r="B50" s="182"/>
      <c r="C50" s="182"/>
    </row>
    <row r="51" spans="1:3" ht="15.75">
      <c r="A51" s="182"/>
      <c r="B51" s="182"/>
      <c r="C51" s="182"/>
    </row>
    <row r="52" spans="1:3" ht="15.75">
      <c r="A52" s="182"/>
      <c r="B52" s="182"/>
      <c r="C52" s="182"/>
    </row>
    <row r="53" spans="1:3" ht="15.75">
      <c r="A53" s="182"/>
      <c r="B53" s="182"/>
      <c r="C53" s="182"/>
    </row>
    <row r="54" spans="1:3" ht="15.75">
      <c r="A54" s="182"/>
      <c r="B54" s="182"/>
      <c r="C54" s="182"/>
    </row>
    <row r="55" spans="1:3" ht="15.75">
      <c r="A55" s="182"/>
      <c r="B55" s="182"/>
      <c r="C55" s="182"/>
    </row>
    <row r="56" spans="1:3" ht="15.75">
      <c r="A56" s="182"/>
      <c r="B56" s="182"/>
      <c r="C56" s="182"/>
    </row>
    <row r="57" spans="1:3" ht="15.75">
      <c r="A57" s="182"/>
      <c r="B57" s="182"/>
      <c r="C57" s="182"/>
    </row>
    <row r="58" spans="1:3" ht="15.75">
      <c r="A58" s="182"/>
      <c r="B58" s="182"/>
      <c r="C58" s="182"/>
    </row>
    <row r="59" spans="1:3" ht="15.75">
      <c r="A59" s="182"/>
      <c r="B59" s="182"/>
      <c r="C59" s="182"/>
    </row>
    <row r="60" spans="1:3" ht="15.75">
      <c r="A60" s="182"/>
      <c r="B60" s="182"/>
      <c r="C60" s="182"/>
    </row>
    <row r="61" spans="1:3" ht="15.75">
      <c r="A61" s="182"/>
      <c r="B61" s="182"/>
      <c r="C61" s="182"/>
    </row>
    <row r="62" spans="1:3" ht="15.75">
      <c r="A62" s="182"/>
      <c r="B62" s="182"/>
      <c r="C62" s="182"/>
    </row>
    <row r="63" spans="1:3" ht="15.75">
      <c r="A63" s="182"/>
      <c r="B63" s="182"/>
      <c r="C63" s="182"/>
    </row>
    <row r="64" spans="1:3" ht="15.75">
      <c r="A64" s="182"/>
      <c r="B64" s="182"/>
      <c r="C64" s="182"/>
    </row>
    <row r="65" spans="1:3" ht="15.75">
      <c r="A65" s="182"/>
      <c r="B65" s="182"/>
      <c r="C65" s="182"/>
    </row>
    <row r="66" spans="1:3" ht="15.75">
      <c r="A66" s="182"/>
      <c r="B66" s="182"/>
      <c r="C66" s="182"/>
    </row>
    <row r="67" spans="1:3" ht="15.75">
      <c r="A67" s="182"/>
      <c r="B67" s="182"/>
      <c r="C67" s="182"/>
    </row>
    <row r="68" spans="1:3" ht="15.75">
      <c r="A68" s="182"/>
      <c r="B68" s="182"/>
      <c r="C68" s="182"/>
    </row>
    <row r="69" spans="1:3" ht="15.75">
      <c r="A69" s="182"/>
      <c r="B69" s="182"/>
      <c r="C69" s="182"/>
    </row>
    <row r="70" spans="1:3" ht="15.75">
      <c r="A70" s="182"/>
      <c r="B70" s="182"/>
      <c r="C70" s="182"/>
    </row>
    <row r="71" spans="1:3" ht="15.75">
      <c r="A71" s="182"/>
      <c r="B71" s="182"/>
      <c r="C71" s="182"/>
    </row>
    <row r="72" spans="1:3" ht="15.75">
      <c r="A72" s="182"/>
      <c r="B72" s="182"/>
      <c r="C72" s="182"/>
    </row>
    <row r="73" spans="1:3" ht="15.75">
      <c r="A73" s="182"/>
      <c r="B73" s="182"/>
      <c r="C73" s="182"/>
    </row>
    <row r="74" spans="1:3" ht="15.75">
      <c r="A74" s="182"/>
      <c r="B74" s="182"/>
      <c r="C74" s="182"/>
    </row>
    <row r="75" spans="1:3" ht="15.75">
      <c r="A75" s="182"/>
      <c r="B75" s="182"/>
      <c r="C75" s="182"/>
    </row>
    <row r="76" spans="1:3" ht="15.75">
      <c r="A76" s="182"/>
      <c r="B76" s="182"/>
      <c r="C76" s="182"/>
    </row>
    <row r="77" spans="1:3" ht="15.75">
      <c r="A77" s="182"/>
      <c r="B77" s="182"/>
      <c r="C77" s="182"/>
    </row>
    <row r="78" spans="1:3" ht="15.75">
      <c r="A78" s="182"/>
      <c r="B78" s="182"/>
      <c r="C78" s="182"/>
    </row>
    <row r="79" spans="1:3" ht="15.75">
      <c r="A79" s="182"/>
      <c r="B79" s="182"/>
      <c r="C79" s="182"/>
    </row>
    <row r="80" spans="1:3" ht="15.75">
      <c r="A80" s="182"/>
      <c r="B80" s="182"/>
      <c r="C80" s="182"/>
    </row>
    <row r="81" spans="1:3" ht="15.75">
      <c r="A81" s="182"/>
      <c r="B81" s="182"/>
      <c r="C81" s="182"/>
    </row>
    <row r="82" spans="1:3" ht="15.75">
      <c r="A82" s="182"/>
      <c r="B82" s="182"/>
      <c r="C82" s="182"/>
    </row>
    <row r="83" spans="1:3" ht="15.75">
      <c r="A83" s="182"/>
      <c r="B83" s="182"/>
      <c r="C83" s="182"/>
    </row>
    <row r="84" spans="1:3" ht="15.75">
      <c r="A84" s="182"/>
      <c r="B84" s="182"/>
      <c r="C84" s="182"/>
    </row>
    <row r="85" spans="1:3" ht="15.75">
      <c r="A85" s="182"/>
      <c r="B85" s="182"/>
      <c r="C85" s="182"/>
    </row>
    <row r="86" spans="1:3" ht="15.75">
      <c r="A86" s="182"/>
      <c r="B86" s="182"/>
      <c r="C86" s="182"/>
    </row>
    <row r="87" spans="1:3" ht="15.75">
      <c r="A87" s="182"/>
      <c r="B87" s="182"/>
      <c r="C87" s="182"/>
    </row>
    <row r="88" spans="1:3" ht="15.75">
      <c r="A88" s="182"/>
      <c r="B88" s="182"/>
      <c r="C88" s="182"/>
    </row>
    <row r="89" spans="1:3" ht="15.75">
      <c r="A89" s="182"/>
      <c r="B89" s="182"/>
      <c r="C89" s="182"/>
    </row>
    <row r="90" spans="1:3" ht="15.75">
      <c r="A90" s="182"/>
      <c r="B90" s="182"/>
      <c r="C90" s="182"/>
    </row>
    <row r="91" spans="1:3" ht="15.75">
      <c r="A91" s="182"/>
      <c r="B91" s="182"/>
      <c r="C91" s="182"/>
    </row>
    <row r="92" spans="1:3" ht="15.75">
      <c r="A92" s="182"/>
      <c r="B92" s="182"/>
      <c r="C92" s="182"/>
    </row>
    <row r="93" spans="1:3" ht="15.75">
      <c r="A93" s="182"/>
      <c r="B93" s="182"/>
      <c r="C93" s="182"/>
    </row>
    <row r="94" spans="1:3" ht="15.75">
      <c r="A94" s="182"/>
      <c r="B94" s="182"/>
      <c r="C94" s="182"/>
    </row>
    <row r="95" spans="1:3" ht="15.75">
      <c r="A95" s="182"/>
      <c r="B95" s="182"/>
      <c r="C95" s="182"/>
    </row>
    <row r="96" spans="1:3" ht="15.75">
      <c r="A96" s="182"/>
      <c r="B96" s="182"/>
      <c r="C96" s="182"/>
    </row>
    <row r="97" spans="1:3" ht="15.75">
      <c r="A97" s="182"/>
      <c r="B97" s="182"/>
      <c r="C97" s="182"/>
    </row>
    <row r="98" spans="1:3" ht="15.75">
      <c r="A98" s="182"/>
      <c r="B98" s="182"/>
      <c r="C98" s="182"/>
    </row>
    <row r="99" spans="1:3" ht="15.75">
      <c r="A99" s="182"/>
      <c r="B99" s="182"/>
      <c r="C99" s="182"/>
    </row>
    <row r="100" spans="1:3" ht="15.75">
      <c r="A100" s="182"/>
      <c r="B100" s="182"/>
      <c r="C100" s="182"/>
    </row>
    <row r="101" spans="1:3" ht="15.75">
      <c r="A101" s="182"/>
      <c r="B101" s="182"/>
      <c r="C101" s="182"/>
    </row>
    <row r="102" spans="1:3" ht="15.75">
      <c r="A102" s="182"/>
      <c r="B102" s="182"/>
      <c r="C102" s="182"/>
    </row>
    <row r="103" spans="1:3" ht="15.75">
      <c r="A103" s="182"/>
      <c r="B103" s="182"/>
      <c r="C103" s="182"/>
    </row>
    <row r="104" spans="1:3" ht="15.75">
      <c r="A104" s="182"/>
      <c r="B104" s="182"/>
      <c r="C104" s="182"/>
    </row>
    <row r="105" spans="1:3" ht="15.75">
      <c r="A105" s="182"/>
      <c r="B105" s="182"/>
      <c r="C105" s="182"/>
    </row>
    <row r="106" spans="1:3" ht="15.75">
      <c r="A106" s="182"/>
      <c r="B106" s="182"/>
      <c r="C106" s="182"/>
    </row>
    <row r="107" spans="1:3" ht="15.75">
      <c r="A107" s="182"/>
      <c r="B107" s="182"/>
      <c r="C107" s="182"/>
    </row>
    <row r="108" spans="1:3" ht="15.75">
      <c r="A108" s="182"/>
      <c r="B108" s="182"/>
      <c r="C108" s="182"/>
    </row>
    <row r="109" spans="1:3" ht="15.75">
      <c r="A109" s="182"/>
      <c r="B109" s="182"/>
      <c r="C109" s="182"/>
    </row>
    <row r="110" spans="1:3" ht="15.75">
      <c r="A110" s="182"/>
      <c r="B110" s="182"/>
      <c r="C110" s="182"/>
    </row>
    <row r="111" spans="1:3" ht="15.75">
      <c r="A111" s="182"/>
      <c r="B111" s="182"/>
      <c r="C111" s="182"/>
    </row>
    <row r="112" spans="1:3" ht="15.75">
      <c r="A112" s="182"/>
      <c r="B112" s="182"/>
      <c r="C112" s="182"/>
    </row>
    <row r="113" spans="1:3" ht="15.75">
      <c r="A113" s="182"/>
      <c r="B113" s="182"/>
      <c r="C113" s="182"/>
    </row>
    <row r="114" spans="1:3" ht="15.75">
      <c r="A114" s="182"/>
      <c r="B114" s="182"/>
      <c r="C114" s="182"/>
    </row>
    <row r="115" spans="1:3" ht="15.75">
      <c r="A115" s="182"/>
      <c r="B115" s="182"/>
      <c r="C115" s="182"/>
    </row>
    <row r="116" spans="1:3" ht="15.75">
      <c r="A116" s="182"/>
      <c r="B116" s="182"/>
      <c r="C116" s="182"/>
    </row>
    <row r="117" spans="1:3" ht="15.75">
      <c r="A117" s="182"/>
      <c r="B117" s="182"/>
      <c r="C117" s="182"/>
    </row>
    <row r="118" spans="1:3" ht="15.75">
      <c r="A118" s="182"/>
      <c r="B118" s="182"/>
      <c r="C118" s="182"/>
    </row>
    <row r="119" spans="1:3" ht="15.75">
      <c r="A119" s="182"/>
      <c r="B119" s="182"/>
      <c r="C119" s="182"/>
    </row>
    <row r="120" spans="1:3" ht="15.75">
      <c r="A120" s="182"/>
      <c r="B120" s="182"/>
      <c r="C120" s="182"/>
    </row>
    <row r="121" spans="1:3" ht="15.75">
      <c r="A121" s="182"/>
      <c r="B121" s="182"/>
      <c r="C121" s="182"/>
    </row>
    <row r="122" spans="1:3" ht="15.75">
      <c r="A122" s="182"/>
      <c r="B122" s="182"/>
      <c r="C122" s="182"/>
    </row>
    <row r="123" spans="1:3" ht="15.75">
      <c r="A123" s="182"/>
      <c r="B123" s="182"/>
      <c r="C123" s="182"/>
    </row>
    <row r="124" spans="1:3" ht="15.75">
      <c r="A124" s="182"/>
      <c r="B124" s="182"/>
      <c r="C124" s="182"/>
    </row>
    <row r="125" spans="1:3" ht="15.75">
      <c r="A125" s="182"/>
      <c r="B125" s="182"/>
      <c r="C125" s="182"/>
    </row>
    <row r="126" spans="1:3" ht="15.75">
      <c r="A126" s="182"/>
      <c r="B126" s="182"/>
      <c r="C126" s="182"/>
    </row>
    <row r="127" spans="1:3" ht="15.75">
      <c r="A127" s="182"/>
      <c r="B127" s="182"/>
      <c r="C127" s="182"/>
    </row>
    <row r="128" spans="1:3" ht="15.75">
      <c r="A128" s="182"/>
      <c r="B128" s="182"/>
      <c r="C128" s="182"/>
    </row>
    <row r="129" spans="1:3" ht="15.75">
      <c r="A129" s="182"/>
      <c r="B129" s="182"/>
      <c r="C129" s="182"/>
    </row>
    <row r="130" spans="1:3" ht="15.75">
      <c r="A130" s="182"/>
      <c r="B130" s="182"/>
      <c r="C130" s="182"/>
    </row>
    <row r="131" spans="1:3" ht="15.75">
      <c r="A131" s="182"/>
      <c r="B131" s="182"/>
      <c r="C131" s="182"/>
    </row>
    <row r="132" spans="1:3" ht="15.75">
      <c r="A132" s="182"/>
      <c r="B132" s="182"/>
      <c r="C132" s="182"/>
    </row>
    <row r="133" spans="1:3" ht="15.75">
      <c r="A133" s="182"/>
      <c r="B133" s="182"/>
      <c r="C133" s="182"/>
    </row>
    <row r="134" spans="1:3" ht="15.75">
      <c r="A134" s="182"/>
      <c r="B134" s="182"/>
      <c r="C134" s="182"/>
    </row>
    <row r="135" spans="1:3" ht="15.75">
      <c r="A135" s="182"/>
      <c r="B135" s="182"/>
      <c r="C135" s="182"/>
    </row>
    <row r="136" spans="1:3" ht="15.75">
      <c r="A136" s="182"/>
      <c r="B136" s="182"/>
      <c r="C136" s="182"/>
    </row>
    <row r="137" spans="1:3" ht="15.75">
      <c r="A137" s="182"/>
      <c r="B137" s="182"/>
      <c r="C137" s="182"/>
    </row>
    <row r="138" spans="1:3" ht="15.75">
      <c r="A138" s="182"/>
      <c r="B138" s="182"/>
      <c r="C138" s="182"/>
    </row>
    <row r="139" spans="1:3" ht="15.75">
      <c r="A139" s="182"/>
      <c r="B139" s="182"/>
      <c r="C139" s="182"/>
    </row>
    <row r="140" spans="1:3" ht="15.75">
      <c r="A140" s="182"/>
      <c r="B140" s="182"/>
      <c r="C140" s="182"/>
    </row>
    <row r="141" spans="1:3" ht="15.75">
      <c r="A141" s="182"/>
      <c r="B141" s="182"/>
      <c r="C141" s="182"/>
    </row>
    <row r="142" spans="1:3" ht="15.75">
      <c r="A142" s="182"/>
      <c r="B142" s="182"/>
      <c r="C142" s="182"/>
    </row>
    <row r="143" spans="1:3" ht="15.75">
      <c r="A143" s="182"/>
      <c r="B143" s="182"/>
      <c r="C143" s="182"/>
    </row>
    <row r="144" spans="1:3" ht="15.75">
      <c r="A144" s="182"/>
      <c r="B144" s="182"/>
      <c r="C144" s="182"/>
    </row>
    <row r="145" spans="1:3" ht="15.75">
      <c r="A145" s="182"/>
      <c r="B145" s="182"/>
      <c r="C145" s="182"/>
    </row>
    <row r="146" spans="1:3" ht="15.75">
      <c r="A146" s="182"/>
      <c r="B146" s="182"/>
      <c r="C146" s="182"/>
    </row>
    <row r="147" spans="1:3" ht="15.75">
      <c r="A147" s="182"/>
      <c r="B147" s="182"/>
      <c r="C147" s="182"/>
    </row>
    <row r="148" spans="1:3" ht="15.75">
      <c r="A148" s="182"/>
      <c r="B148" s="182"/>
      <c r="C148" s="182"/>
    </row>
    <row r="149" spans="1:3" ht="15.75">
      <c r="A149" s="182"/>
      <c r="B149" s="182"/>
      <c r="C149" s="182"/>
    </row>
    <row r="150" spans="1:3" ht="15.75">
      <c r="A150" s="182"/>
      <c r="B150" s="182"/>
      <c r="C150" s="182"/>
    </row>
    <row r="151" spans="1:3" ht="15.75">
      <c r="A151" s="182"/>
      <c r="B151" s="182"/>
      <c r="C151" s="182"/>
    </row>
    <row r="152" spans="1:3" ht="15.75">
      <c r="A152" s="182"/>
      <c r="B152" s="182"/>
      <c r="C152" s="182"/>
    </row>
    <row r="153" spans="1:3" ht="15.75">
      <c r="A153" s="182"/>
      <c r="B153" s="182"/>
      <c r="C153" s="182"/>
    </row>
    <row r="154" spans="1:3" ht="15.75">
      <c r="A154" s="182"/>
      <c r="B154" s="182"/>
      <c r="C154" s="182"/>
    </row>
    <row r="155" spans="1:3" ht="15.75">
      <c r="A155" s="182"/>
      <c r="B155" s="182"/>
      <c r="C155" s="182"/>
    </row>
    <row r="156" spans="1:3" ht="15.75">
      <c r="A156" s="182"/>
      <c r="B156" s="182"/>
      <c r="C156" s="182"/>
    </row>
    <row r="157" spans="1:3" ht="15.75">
      <c r="A157" s="182"/>
      <c r="B157" s="182"/>
      <c r="C157" s="182"/>
    </row>
    <row r="158" spans="1:3" ht="15.75">
      <c r="A158" s="182"/>
      <c r="B158" s="182"/>
      <c r="C158" s="182"/>
    </row>
    <row r="159" spans="1:3" ht="15.75">
      <c r="A159" s="182"/>
      <c r="B159" s="182"/>
      <c r="C159" s="182"/>
    </row>
    <row r="160" spans="1:3" ht="15.75">
      <c r="A160" s="182"/>
      <c r="B160" s="182"/>
      <c r="C160" s="182"/>
    </row>
    <row r="161" spans="1:3" ht="15.75">
      <c r="A161" s="182"/>
      <c r="B161" s="182"/>
      <c r="C161" s="182"/>
    </row>
    <row r="162" spans="1:3" ht="15.75">
      <c r="A162" s="182"/>
      <c r="B162" s="182"/>
      <c r="C162" s="182"/>
    </row>
    <row r="163" spans="1:3" ht="15.75">
      <c r="A163" s="182"/>
      <c r="B163" s="182"/>
      <c r="C163" s="182"/>
    </row>
    <row r="164" spans="1:3" ht="15.75">
      <c r="A164" s="182"/>
      <c r="B164" s="182"/>
      <c r="C164" s="182"/>
    </row>
    <row r="165" spans="1:3" ht="15.75">
      <c r="A165" s="182"/>
      <c r="B165" s="182"/>
      <c r="C165" s="182"/>
    </row>
    <row r="166" spans="1:3" ht="15.75">
      <c r="A166" s="182"/>
      <c r="B166" s="182"/>
      <c r="C166" s="182"/>
    </row>
    <row r="167" spans="1:3" ht="15.75">
      <c r="A167" s="182"/>
      <c r="B167" s="182"/>
      <c r="C167" s="182"/>
    </row>
    <row r="168" spans="1:3" ht="15.75">
      <c r="A168" s="182"/>
      <c r="B168" s="182"/>
      <c r="C168" s="182"/>
    </row>
    <row r="169" spans="1:3" ht="15.75">
      <c r="A169" s="182"/>
      <c r="B169" s="182"/>
      <c r="C169" s="182"/>
    </row>
    <row r="170" spans="1:3" ht="15.75">
      <c r="A170" s="182"/>
      <c r="B170" s="182"/>
      <c r="C170" s="182"/>
    </row>
    <row r="171" spans="1:3" ht="15.75">
      <c r="A171" s="182"/>
      <c r="B171" s="182"/>
      <c r="C171" s="182"/>
    </row>
    <row r="172" spans="1:3" ht="15.75">
      <c r="A172" s="182"/>
      <c r="B172" s="182"/>
      <c r="C172" s="182"/>
    </row>
    <row r="173" spans="1:3" ht="15.75">
      <c r="A173" s="182"/>
      <c r="B173" s="182"/>
      <c r="C173" s="182"/>
    </row>
    <row r="174" spans="1:3" ht="15.75">
      <c r="A174" s="182"/>
      <c r="B174" s="182"/>
      <c r="C174" s="182"/>
    </row>
    <row r="175" spans="1:3" ht="15.75">
      <c r="A175" s="182"/>
      <c r="B175" s="182"/>
      <c r="C175" s="182"/>
    </row>
    <row r="176" spans="1:3" ht="15.75">
      <c r="A176" s="182"/>
      <c r="B176" s="182"/>
      <c r="C176" s="182"/>
    </row>
    <row r="177" spans="1:3" ht="15.75">
      <c r="A177" s="182"/>
      <c r="B177" s="182"/>
      <c r="C177" s="182"/>
    </row>
    <row r="178" spans="1:3" ht="15.75">
      <c r="A178" s="182"/>
      <c r="B178" s="182"/>
      <c r="C178" s="182"/>
    </row>
    <row r="179" spans="1:3" ht="15.75">
      <c r="A179" s="182"/>
      <c r="B179" s="182"/>
      <c r="C179" s="182"/>
    </row>
    <row r="180" spans="1:3" ht="15.75">
      <c r="A180" s="182"/>
      <c r="B180" s="182"/>
      <c r="C180" s="182"/>
    </row>
    <row r="181" spans="1:3" ht="15.75">
      <c r="A181" s="182"/>
      <c r="B181" s="182"/>
      <c r="C181" s="182"/>
    </row>
    <row r="182" spans="1:3" ht="15.75">
      <c r="A182" s="182"/>
      <c r="B182" s="182"/>
      <c r="C182" s="182"/>
    </row>
    <row r="183" spans="1:3" ht="15.75">
      <c r="A183" s="182"/>
      <c r="B183" s="182"/>
      <c r="C183" s="182"/>
    </row>
    <row r="184" spans="1:3" ht="15.75">
      <c r="A184" s="182"/>
      <c r="B184" s="182"/>
      <c r="C184" s="182"/>
    </row>
    <row r="185" spans="1:3" ht="15.75">
      <c r="A185" s="182"/>
      <c r="B185" s="182"/>
      <c r="C185" s="182"/>
    </row>
    <row r="186" spans="1:3" ht="15.75">
      <c r="A186" s="182"/>
      <c r="B186" s="182"/>
      <c r="C186" s="182"/>
    </row>
    <row r="187" spans="1:3" ht="15.75">
      <c r="A187" s="182"/>
      <c r="B187" s="182"/>
      <c r="C187" s="182"/>
    </row>
    <row r="188" spans="1:3" ht="15.75">
      <c r="A188" s="182"/>
      <c r="B188" s="182"/>
      <c r="C188" s="182"/>
    </row>
    <row r="189" spans="1:3" ht="15.75">
      <c r="A189" s="182"/>
      <c r="B189" s="182"/>
      <c r="C189" s="182"/>
    </row>
    <row r="190" spans="1:3" ht="15.75">
      <c r="A190" s="182"/>
      <c r="B190" s="182"/>
      <c r="C190" s="182"/>
    </row>
    <row r="191" spans="1:3" ht="15.75">
      <c r="A191" s="182"/>
      <c r="B191" s="182"/>
      <c r="C191" s="182"/>
    </row>
    <row r="192" spans="1:3" ht="15.75">
      <c r="A192" s="182"/>
      <c r="B192" s="182"/>
      <c r="C192" s="182"/>
    </row>
    <row r="193" spans="1:3" ht="15.75">
      <c r="A193" s="182"/>
      <c r="B193" s="182"/>
      <c r="C193" s="182"/>
    </row>
    <row r="194" spans="1:3" ht="15.75">
      <c r="A194" s="182"/>
      <c r="B194" s="182"/>
      <c r="C194" s="182"/>
    </row>
    <row r="195" spans="1:3" ht="15.75">
      <c r="A195" s="182"/>
      <c r="B195" s="182"/>
      <c r="C195" s="182"/>
    </row>
    <row r="196" spans="1:3" ht="15.75">
      <c r="A196" s="182"/>
      <c r="B196" s="182"/>
      <c r="C196" s="182"/>
    </row>
    <row r="197" spans="1:3" ht="15.75">
      <c r="A197" s="182"/>
      <c r="B197" s="182"/>
      <c r="C197" s="182"/>
    </row>
    <row r="198" spans="1:3" ht="15.75">
      <c r="A198" s="182"/>
      <c r="B198" s="182"/>
      <c r="C198" s="182"/>
    </row>
    <row r="199" spans="1:3" ht="15.75">
      <c r="A199" s="182"/>
      <c r="B199" s="182"/>
      <c r="C199" s="182"/>
    </row>
    <row r="200" spans="1:3" ht="15.75">
      <c r="A200" s="182"/>
      <c r="B200" s="182"/>
      <c r="C200" s="182"/>
    </row>
    <row r="201" spans="1:3" ht="15.75">
      <c r="A201" s="182"/>
      <c r="B201" s="182"/>
      <c r="C201" s="182"/>
    </row>
    <row r="202" spans="1:3" ht="15.75">
      <c r="A202" s="182"/>
      <c r="B202" s="182"/>
      <c r="C202" s="182"/>
    </row>
    <row r="203" spans="1:3" ht="15.75">
      <c r="A203" s="182"/>
      <c r="B203" s="182"/>
      <c r="C203" s="182"/>
    </row>
    <row r="204" spans="1:3" ht="15.75">
      <c r="A204" s="182"/>
      <c r="B204" s="182"/>
      <c r="C204" s="182"/>
    </row>
    <row r="205" spans="1:3" ht="15.75">
      <c r="A205" s="182"/>
      <c r="B205" s="182"/>
      <c r="C205" s="182"/>
    </row>
    <row r="206" spans="1:3" ht="15.75">
      <c r="A206" s="182"/>
      <c r="B206" s="182"/>
      <c r="C206" s="182"/>
    </row>
    <row r="207" spans="1:3" ht="15.75">
      <c r="A207" s="182"/>
      <c r="B207" s="182"/>
      <c r="C207" s="182"/>
    </row>
    <row r="208" spans="1:3" ht="15.75">
      <c r="A208" s="182"/>
      <c r="B208" s="182"/>
      <c r="C208" s="182"/>
    </row>
    <row r="209" spans="1:3" ht="15.75">
      <c r="A209" s="182"/>
      <c r="B209" s="182"/>
      <c r="C209" s="182"/>
    </row>
    <row r="210" spans="1:3" ht="15.75">
      <c r="A210" s="182"/>
      <c r="B210" s="182"/>
      <c r="C210" s="182"/>
    </row>
    <row r="211" spans="1:3" ht="15.75">
      <c r="A211" s="182"/>
      <c r="B211" s="182"/>
      <c r="C211" s="182"/>
    </row>
    <row r="212" spans="1:3" ht="15.75">
      <c r="A212" s="182"/>
      <c r="B212" s="182"/>
      <c r="C212" s="182"/>
    </row>
    <row r="213" spans="1:3" ht="15.75">
      <c r="A213" s="182"/>
      <c r="B213" s="182"/>
      <c r="C213" s="182"/>
    </row>
    <row r="214" spans="1:3" ht="15.75">
      <c r="A214" s="182"/>
      <c r="B214" s="182"/>
      <c r="C214" s="182"/>
    </row>
    <row r="215" spans="1:3" ht="15.75">
      <c r="A215" s="182"/>
      <c r="B215" s="182"/>
      <c r="C215" s="182"/>
    </row>
    <row r="216" spans="1:3" ht="15.75">
      <c r="A216" s="182"/>
      <c r="B216" s="182"/>
      <c r="C216" s="182"/>
    </row>
    <row r="217" spans="1:3" ht="15.75">
      <c r="A217" s="182"/>
      <c r="B217" s="182"/>
      <c r="C217" s="182"/>
    </row>
    <row r="218" spans="1:3" ht="15.75">
      <c r="A218" s="182"/>
      <c r="B218" s="182"/>
      <c r="C218" s="182"/>
    </row>
    <row r="219" spans="1:3" ht="15.75">
      <c r="A219" s="182"/>
      <c r="B219" s="182"/>
      <c r="C219" s="182"/>
    </row>
    <row r="220" spans="1:3" ht="15.75">
      <c r="A220" s="182"/>
      <c r="B220" s="182"/>
      <c r="C220" s="182"/>
    </row>
    <row r="221" spans="1:3" ht="15.75">
      <c r="A221" s="182"/>
      <c r="B221" s="182"/>
      <c r="C221" s="182"/>
    </row>
    <row r="222" spans="1:3" ht="15.75">
      <c r="A222" s="182"/>
      <c r="B222" s="182"/>
      <c r="C222" s="182"/>
    </row>
    <row r="223" spans="1:3" ht="15.75">
      <c r="A223" s="182"/>
      <c r="B223" s="182"/>
      <c r="C223" s="182"/>
    </row>
    <row r="224" spans="1:3" ht="15.75">
      <c r="A224" s="182"/>
      <c r="B224" s="182"/>
      <c r="C224" s="182"/>
    </row>
    <row r="225" spans="1:3" ht="15.75">
      <c r="A225" s="182"/>
      <c r="B225" s="182"/>
      <c r="C225" s="182"/>
    </row>
    <row r="226" spans="1:3" ht="15.75">
      <c r="A226" s="182"/>
      <c r="B226" s="182"/>
      <c r="C226" s="182"/>
    </row>
    <row r="227" spans="1:3" ht="15.75">
      <c r="A227" s="182"/>
      <c r="B227" s="182"/>
      <c r="C227" s="182"/>
    </row>
    <row r="228" spans="1:3" ht="15.75">
      <c r="A228" s="182"/>
      <c r="B228" s="182"/>
      <c r="C228" s="182"/>
    </row>
    <row r="229" spans="1:3" ht="15.75">
      <c r="A229" s="182"/>
      <c r="B229" s="182"/>
      <c r="C229" s="182"/>
    </row>
    <row r="230" spans="1:3" ht="15.75">
      <c r="A230" s="182"/>
      <c r="B230" s="182"/>
      <c r="C230" s="182"/>
    </row>
    <row r="231" spans="1:3" ht="15.75">
      <c r="A231" s="182"/>
      <c r="B231" s="182"/>
      <c r="C231" s="182"/>
    </row>
    <row r="232" spans="1:3" ht="15.75">
      <c r="A232" s="182"/>
      <c r="B232" s="182"/>
      <c r="C232" s="182"/>
    </row>
    <row r="233" spans="1:3" ht="15.75">
      <c r="A233" s="182"/>
      <c r="B233" s="182"/>
      <c r="C233" s="182"/>
    </row>
    <row r="234" spans="1:3" ht="15.75">
      <c r="A234" s="182"/>
      <c r="B234" s="182"/>
      <c r="C234" s="182"/>
    </row>
    <row r="235" spans="1:3" ht="15.75">
      <c r="A235" s="182"/>
      <c r="B235" s="182"/>
      <c r="C235" s="182"/>
    </row>
    <row r="236" spans="1:3" ht="15.75">
      <c r="A236" s="182"/>
      <c r="B236" s="182"/>
      <c r="C236" s="182"/>
    </row>
    <row r="237" spans="1:3" ht="15.75">
      <c r="A237" s="182"/>
      <c r="B237" s="182"/>
      <c r="C237" s="182"/>
    </row>
    <row r="238" spans="1:3" ht="15.75">
      <c r="A238" s="182"/>
      <c r="B238" s="182"/>
      <c r="C238" s="182"/>
    </row>
    <row r="239" spans="1:3" ht="15.75">
      <c r="A239" s="182"/>
      <c r="B239" s="182"/>
      <c r="C239" s="182"/>
    </row>
    <row r="240" spans="1:3" ht="15.75">
      <c r="A240" s="182"/>
      <c r="B240" s="182"/>
      <c r="C240" s="182"/>
    </row>
    <row r="241" spans="1:3" ht="15.75">
      <c r="A241" s="182"/>
      <c r="B241" s="182"/>
      <c r="C241" s="182"/>
    </row>
    <row r="242" spans="1:3" ht="15.75">
      <c r="A242" s="182"/>
      <c r="B242" s="182"/>
      <c r="C242" s="182"/>
    </row>
    <row r="243" spans="1:3" ht="15.75">
      <c r="A243" s="182"/>
      <c r="B243" s="182"/>
      <c r="C243" s="182"/>
    </row>
    <row r="244" spans="1:3" ht="15.75">
      <c r="A244" s="182"/>
      <c r="B244" s="182"/>
      <c r="C244" s="182"/>
    </row>
    <row r="245" spans="1:3" ht="15.75">
      <c r="A245" s="182"/>
      <c r="B245" s="182"/>
      <c r="C245" s="182"/>
    </row>
    <row r="246" spans="1:3" ht="15.75">
      <c r="A246" s="182"/>
      <c r="B246" s="182"/>
      <c r="C246" s="182"/>
    </row>
    <row r="247" spans="1:3" ht="15.75">
      <c r="A247" s="182"/>
      <c r="B247" s="182"/>
      <c r="C247" s="182"/>
    </row>
    <row r="248" spans="1:3" ht="15.75">
      <c r="A248" s="182"/>
      <c r="B248" s="182"/>
      <c r="C248" s="182"/>
    </row>
    <row r="249" spans="1:3" ht="15.75">
      <c r="A249" s="182"/>
      <c r="B249" s="182"/>
      <c r="C249" s="182"/>
    </row>
    <row r="250" spans="1:3" ht="15.75">
      <c r="A250" s="182"/>
      <c r="B250" s="182"/>
      <c r="C250" s="182"/>
    </row>
    <row r="251" spans="1:3" ht="15.75">
      <c r="A251" s="182"/>
      <c r="B251" s="182"/>
      <c r="C251" s="182"/>
    </row>
    <row r="252" spans="1:3" ht="15.75">
      <c r="A252" s="182"/>
      <c r="B252" s="182"/>
      <c r="C252" s="182"/>
    </row>
    <row r="253" spans="1:3" ht="15.75">
      <c r="A253" s="182"/>
      <c r="B253" s="182"/>
      <c r="C253" s="182"/>
    </row>
    <row r="254" spans="1:3" ht="15.75">
      <c r="A254" s="182"/>
      <c r="B254" s="182"/>
      <c r="C254" s="182"/>
    </row>
    <row r="255" spans="1:3" ht="15.75">
      <c r="A255" s="182"/>
      <c r="B255" s="182"/>
      <c r="C255" s="182"/>
    </row>
    <row r="256" spans="1:3" ht="15.75">
      <c r="A256" s="182"/>
      <c r="B256" s="182"/>
      <c r="C256" s="182"/>
    </row>
    <row r="257" spans="1:3" ht="15.75">
      <c r="A257" s="182"/>
      <c r="B257" s="182"/>
      <c r="C257" s="182"/>
    </row>
    <row r="258" spans="1:3" ht="15.75">
      <c r="A258" s="182"/>
      <c r="B258" s="182"/>
      <c r="C258" s="182"/>
    </row>
    <row r="259" spans="1:3" ht="15.75">
      <c r="A259" s="182"/>
      <c r="B259" s="182"/>
      <c r="C259" s="182"/>
    </row>
    <row r="260" spans="1:3" ht="15.75">
      <c r="A260" s="182"/>
      <c r="B260" s="182"/>
      <c r="C260" s="182"/>
    </row>
    <row r="261" spans="1:3" ht="15.75">
      <c r="A261" s="182"/>
      <c r="B261" s="182"/>
      <c r="C261" s="182"/>
    </row>
    <row r="262" spans="1:3" ht="15.75">
      <c r="A262" s="182"/>
      <c r="B262" s="182"/>
      <c r="C262" s="182"/>
    </row>
    <row r="263" spans="1:3" ht="15.75">
      <c r="A263" s="182"/>
      <c r="B263" s="182"/>
      <c r="C263" s="182"/>
    </row>
    <row r="264" spans="1:3" ht="15.75">
      <c r="A264" s="182"/>
      <c r="B264" s="182"/>
      <c r="C264" s="182"/>
    </row>
    <row r="265" spans="1:3" ht="15.75">
      <c r="A265" s="182"/>
      <c r="B265" s="182"/>
      <c r="C265" s="182"/>
    </row>
    <row r="266" spans="1:3" ht="15.75">
      <c r="A266" s="182"/>
      <c r="B266" s="182"/>
      <c r="C266" s="182"/>
    </row>
    <row r="267" spans="1:3" ht="15.75">
      <c r="A267" s="182"/>
      <c r="B267" s="182"/>
      <c r="C267" s="182"/>
    </row>
    <row r="268" spans="1:3" ht="15.75">
      <c r="A268" s="182"/>
      <c r="B268" s="182"/>
      <c r="C268" s="182"/>
    </row>
    <row r="269" spans="1:3" ht="15.75">
      <c r="A269" s="182"/>
      <c r="B269" s="182"/>
      <c r="C269" s="182"/>
    </row>
    <row r="270" spans="1:3" ht="15.75">
      <c r="A270" s="182"/>
      <c r="B270" s="182"/>
      <c r="C270" s="182"/>
    </row>
  </sheetData>
  <sheetProtection/>
  <mergeCells count="22">
    <mergeCell ref="B2:P2"/>
    <mergeCell ref="P4:P5"/>
    <mergeCell ref="D4:D5"/>
    <mergeCell ref="E4:E5"/>
    <mergeCell ref="F4:F5"/>
    <mergeCell ref="G4:G5"/>
    <mergeCell ref="M4:M5"/>
    <mergeCell ref="N4:N5"/>
    <mergeCell ref="J4:J5"/>
    <mergeCell ref="K4:K5"/>
    <mergeCell ref="A4:A5"/>
    <mergeCell ref="B4:B5"/>
    <mergeCell ref="C4:C5"/>
    <mergeCell ref="A13:B13"/>
    <mergeCell ref="Q4:Q5"/>
    <mergeCell ref="R4:R5"/>
    <mergeCell ref="S4:S5"/>
    <mergeCell ref="T4:T5"/>
    <mergeCell ref="O4:O5"/>
    <mergeCell ref="H4:H5"/>
    <mergeCell ref="I4:I5"/>
    <mergeCell ref="L4:L5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2019-12-28T07:04:32Z</cp:lastPrinted>
  <dcterms:created xsi:type="dcterms:W3CDTF">2016-10-27T05:29:18Z</dcterms:created>
  <dcterms:modified xsi:type="dcterms:W3CDTF">2020-07-17T07:21:43Z</dcterms:modified>
  <cp:category/>
  <cp:version/>
  <cp:contentType/>
  <cp:contentStatus/>
</cp:coreProperties>
</file>